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napp\Desktop\"/>
    </mc:Choice>
  </mc:AlternateContent>
  <xr:revisionPtr revIDLastSave="0" documentId="13_ncr:1_{79613279-B901-4C86-8724-B1486BE9A7C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5Q2" sheetId="1" r:id="rId1"/>
    <sheet name="25Q4" sheetId="2" r:id="rId2"/>
    <sheet name="26Q1" sheetId="3" r:id="rId3"/>
  </sheets>
  <definedNames>
    <definedName name="_xlnm.Print_Area" localSheetId="0">'25Q2'!$A$1:$P$35</definedName>
    <definedName name="_xlnm.Print_Area" localSheetId="1">'25Q4'!$A$1:$P$35</definedName>
    <definedName name="_xlnm.Print_Area" localSheetId="2">'26Q1'!$A$1:$P$35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3" l="1"/>
  <c r="J35" i="3"/>
  <c r="F35" i="3"/>
  <c r="J34" i="3"/>
  <c r="F34" i="3"/>
  <c r="J33" i="3"/>
  <c r="F33" i="3"/>
  <c r="J32" i="3"/>
  <c r="F32" i="3"/>
  <c r="J31" i="3"/>
  <c r="F31" i="3"/>
  <c r="J30" i="3"/>
  <c r="F30" i="3"/>
  <c r="J29" i="3"/>
  <c r="F29" i="3"/>
  <c r="J28" i="3"/>
  <c r="F28" i="3"/>
  <c r="J27" i="3"/>
  <c r="F27" i="3"/>
  <c r="J26" i="3"/>
  <c r="F26" i="3"/>
  <c r="J25" i="3"/>
  <c r="F25" i="3"/>
  <c r="J22" i="3"/>
  <c r="J21" i="3"/>
  <c r="J20" i="3"/>
  <c r="J19" i="3"/>
  <c r="J18" i="3"/>
  <c r="J17" i="3"/>
  <c r="J16" i="3"/>
  <c r="J35" i="2"/>
  <c r="F35" i="2"/>
  <c r="J34" i="2"/>
  <c r="F34" i="2"/>
  <c r="J33" i="2"/>
  <c r="F33" i="2"/>
  <c r="J32" i="2"/>
  <c r="F32" i="2"/>
  <c r="J31" i="2"/>
  <c r="F31" i="2"/>
  <c r="J30" i="2"/>
  <c r="F30" i="2"/>
  <c r="J29" i="2"/>
  <c r="F29" i="2"/>
  <c r="J28" i="2"/>
  <c r="F28" i="2"/>
  <c r="J27" i="2"/>
  <c r="F27" i="2"/>
  <c r="J26" i="2"/>
  <c r="F26" i="2"/>
  <c r="J25" i="2"/>
  <c r="F25" i="2"/>
  <c r="J24" i="2"/>
  <c r="F24" i="2"/>
  <c r="J21" i="2"/>
  <c r="J20" i="2"/>
  <c r="J19" i="2"/>
  <c r="J18" i="2"/>
  <c r="J17" i="2"/>
  <c r="J16" i="2"/>
  <c r="J15" i="2"/>
  <c r="N10" i="2"/>
  <c r="P35" i="2" s="1"/>
  <c r="N10" i="1"/>
  <c r="H34" i="3" l="1"/>
  <c r="P19" i="3"/>
  <c r="P35" i="3"/>
  <c r="H19" i="3"/>
  <c r="H31" i="3"/>
  <c r="P25" i="3"/>
  <c r="P34" i="3"/>
  <c r="H32" i="3"/>
  <c r="P28" i="3"/>
  <c r="H29" i="3"/>
  <c r="P32" i="3"/>
  <c r="H18" i="3"/>
  <c r="H27" i="3"/>
  <c r="H30" i="3"/>
  <c r="H25" i="3"/>
  <c r="P31" i="3"/>
  <c r="H16" i="3"/>
  <c r="H26" i="3"/>
  <c r="H21" i="3"/>
  <c r="P29" i="3"/>
  <c r="P21" i="3"/>
  <c r="H22" i="3"/>
  <c r="H33" i="3"/>
  <c r="H28" i="3"/>
  <c r="H20" i="3"/>
  <c r="P20" i="3"/>
  <c r="H35" i="3"/>
  <c r="H17" i="3"/>
  <c r="P26" i="3"/>
  <c r="P17" i="3"/>
  <c r="P18" i="3"/>
  <c r="P22" i="3"/>
  <c r="P27" i="3"/>
  <c r="P30" i="3"/>
  <c r="P33" i="3"/>
  <c r="H18" i="2"/>
  <c r="H33" i="2"/>
  <c r="P18" i="2"/>
  <c r="P33" i="2"/>
  <c r="H15" i="2"/>
  <c r="H34" i="2"/>
  <c r="H20" i="2"/>
  <c r="P34" i="2"/>
  <c r="H24" i="2"/>
  <c r="H27" i="2"/>
  <c r="H30" i="2"/>
  <c r="P20" i="2"/>
  <c r="H19" i="2"/>
  <c r="P24" i="2"/>
  <c r="P27" i="2"/>
  <c r="P30" i="2"/>
  <c r="P19" i="2"/>
  <c r="H25" i="2"/>
  <c r="H28" i="2"/>
  <c r="H31" i="2"/>
  <c r="H16" i="2"/>
  <c r="P25" i="2"/>
  <c r="P28" i="2"/>
  <c r="P31" i="2"/>
  <c r="P16" i="2"/>
  <c r="H17" i="2"/>
  <c r="H21" i="2"/>
  <c r="H26" i="2"/>
  <c r="H29" i="2"/>
  <c r="H35" i="2"/>
  <c r="H32" i="2"/>
  <c r="P17" i="2"/>
  <c r="P21" i="2"/>
  <c r="P26" i="2"/>
  <c r="P29" i="2"/>
  <c r="P32" i="2"/>
  <c r="P28" i="1"/>
  <c r="P27" i="1"/>
  <c r="F28" i="1"/>
  <c r="F27" i="1"/>
  <c r="J28" i="1"/>
  <c r="H28" i="1"/>
  <c r="J27" i="1"/>
  <c r="H27" i="1"/>
  <c r="P25" i="1"/>
  <c r="F25" i="1"/>
  <c r="J25" i="1"/>
  <c r="H25" i="1"/>
  <c r="P21" i="1" l="1"/>
  <c r="J26" i="1"/>
  <c r="J29" i="1"/>
  <c r="J30" i="1"/>
  <c r="J31" i="1"/>
  <c r="J32" i="1"/>
  <c r="J33" i="1"/>
  <c r="J34" i="1"/>
  <c r="J35" i="1"/>
  <c r="J24" i="1"/>
  <c r="J16" i="1"/>
  <c r="J17" i="1"/>
  <c r="J18" i="1"/>
  <c r="J19" i="1"/>
  <c r="J20" i="1"/>
  <c r="J21" i="1"/>
  <c r="J15" i="1"/>
  <c r="F29" i="1"/>
  <c r="F35" i="1"/>
  <c r="F34" i="1"/>
  <c r="F33" i="1"/>
  <c r="F32" i="1"/>
  <c r="F31" i="1"/>
  <c r="F30" i="1"/>
  <c r="F26" i="1"/>
  <c r="F24" i="1"/>
  <c r="H29" i="1" l="1"/>
  <c r="H33" i="1"/>
  <c r="P26" i="1"/>
  <c r="P32" i="1"/>
  <c r="H30" i="1"/>
  <c r="P29" i="1"/>
  <c r="H24" i="1"/>
  <c r="H31" i="1"/>
  <c r="H35" i="1"/>
  <c r="P30" i="1"/>
  <c r="P34" i="1"/>
  <c r="H34" i="1"/>
  <c r="P33" i="1"/>
  <c r="H26" i="1"/>
  <c r="H32" i="1"/>
  <c r="P24" i="1"/>
  <c r="P31" i="1"/>
  <c r="P35" i="1"/>
  <c r="H17" i="1"/>
  <c r="H16" i="1"/>
  <c r="H21" i="1"/>
  <c r="P18" i="1"/>
  <c r="H20" i="1"/>
  <c r="P19" i="1"/>
  <c r="H19" i="1"/>
  <c r="P16" i="1"/>
  <c r="P20" i="1"/>
  <c r="H15" i="1"/>
  <c r="H18" i="1"/>
  <c r="P17" i="1"/>
</calcChain>
</file>

<file path=xl/sharedStrings.xml><?xml version="1.0" encoding="utf-8"?>
<sst xmlns="http://schemas.openxmlformats.org/spreadsheetml/2006/main" count="390" uniqueCount="49">
  <si>
    <t>IUEC LOCAL 34 DUES BREAKDOWN</t>
  </si>
  <si>
    <t>2025 SECOND QUARTER</t>
  </si>
  <si>
    <t>LOCAL PER CAPITA</t>
  </si>
  <si>
    <t>POLITICAL FUND</t>
  </si>
  <si>
    <t>BUILDING FUND</t>
  </si>
  <si>
    <t>INTERNATIONAL PER CAPITA</t>
  </si>
  <si>
    <t>DEFENSE FUND</t>
  </si>
  <si>
    <t>JOURNAL FEE</t>
  </si>
  <si>
    <t>CONVENTION FUND</t>
  </si>
  <si>
    <t>TOTAL</t>
  </si>
  <si>
    <t>PER CAPITAS &amp; FEES</t>
  </si>
  <si>
    <t>WAGE RATE</t>
  </si>
  <si>
    <t>DUES</t>
  </si>
  <si>
    <t>1ST-YEAR APPRENTICE - WAGE RATE (55%)</t>
  </si>
  <si>
    <t>2ND-YEAR APPRENTICE - WAGE RATE (65%)</t>
  </si>
  <si>
    <t>3RD-YEAR APPRENTICE - WAGE RATE (70%)</t>
  </si>
  <si>
    <t>4TH-YEAR APPRENTICE - WAGE RATE (80%)</t>
  </si>
  <si>
    <t>MECHANIC - WAGE RATE (100%)</t>
  </si>
  <si>
    <t>MECHANIC IN CHARGE - WAGE RATE (112.5%)</t>
  </si>
  <si>
    <t>PLUS-RATE MECHANIC - WAGE RATE (103%)</t>
  </si>
  <si>
    <t>PLUS-RATE MECHANIC - WAGE RATE (106%)</t>
  </si>
  <si>
    <t>PLUS-RATE MECHANIC - WAGE RATE (110%)</t>
  </si>
  <si>
    <t>PLUS-RATE MECHANIC - WAGE RATE(117.5%)</t>
  </si>
  <si>
    <t>PLUS-RATE MECHANIC - WAGE RATE (120%)</t>
  </si>
  <si>
    <t>PLUS-RATE MECHANIC - WAGE RATE (122.5%)</t>
  </si>
  <si>
    <t>PLUS-RATE MECHANIC - WAGE RATE (125%)</t>
  </si>
  <si>
    <t>PLUS-RATE MECHANIC - WAGE RATE (134%)</t>
  </si>
  <si>
    <t>PLUS-RATE MECHANIC - WAGE RATE (141.25%)</t>
  </si>
  <si>
    <t>MULTIPLIER</t>
  </si>
  <si>
    <t>% OF SCALE</t>
  </si>
  <si>
    <t>MECHANIC
WAGE RATE</t>
  </si>
  <si>
    <t>+</t>
  </si>
  <si>
    <t>=</t>
  </si>
  <si>
    <t>DUES RESPONSIBILITY CALCULATIONS</t>
  </si>
  <si>
    <t>PUBLISHED CLASSIFICATIONS</t>
  </si>
  <si>
    <t>PROBATIONARY - WAGE RATE (50%)</t>
  </si>
  <si>
    <t>x</t>
  </si>
  <si>
    <t>PER CAPITA &amp; FEES</t>
  </si>
  <si>
    <t>MEMBER WAGE RATE INFORMATION</t>
  </si>
  <si>
    <t>PLUS-RATE MECHANICS
(% OF MECHANIC'S WAGE RATE)</t>
  </si>
  <si>
    <r>
      <t>$120/</t>
    </r>
    <r>
      <rPr>
        <b/>
        <sz val="10"/>
        <color theme="1"/>
        <rFont val="Georgia"/>
        <family val="1"/>
      </rPr>
      <t>MONTH</t>
    </r>
  </si>
  <si>
    <t>PLUS-RATE MECHANIC - WAGE RATE (104%)</t>
  </si>
  <si>
    <t>PLUS-RATE MECHANIC - WAGE RATE (108%)</t>
  </si>
  <si>
    <t>PLUS-RATE MECHANIC - WAGE RATE (109%)</t>
  </si>
  <si>
    <t>INTERNATIONAL CONVENTION FEE</t>
  </si>
  <si>
    <t>RETIREMENT/DEATH BENEFIT FUND</t>
  </si>
  <si>
    <t>2025 FOURTH QUARTER</t>
  </si>
  <si>
    <t>LOCAL CONVENTION FUND</t>
  </si>
  <si>
    <t>2026 SECOND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</si>
</sst>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Georgia"/>
      <family val="1"/>
    </font>
    <font>
      <b/>
      <sz val="14"/>
      <color theme="1"/>
      <name val="Georgia"/>
      <family val="1"/>
    </font>
    <font>
      <b/>
      <sz val="12"/>
      <color theme="1"/>
      <name val="Georgia"/>
      <family val="1"/>
    </font>
    <font>
      <sz val="14"/>
      <color theme="1"/>
      <name val="Georgia"/>
      <family val="1"/>
    </font>
    <font>
      <sz val="20"/>
      <color theme="1"/>
      <name val="Georgia"/>
      <family val="1"/>
    </font>
    <font>
      <b/>
      <sz val="24"/>
      <color theme="1"/>
      <name val="Georgia"/>
      <family val="1"/>
    </font>
    <font>
      <b/>
      <sz val="36"/>
      <color theme="1"/>
      <name val="Georgia"/>
      <family val="1"/>
    </font>
    <font>
      <sz val="24"/>
      <color theme="1"/>
      <name val="Georgia"/>
      <family val="1"/>
    </font>
    <font>
      <b/>
      <sz val="13"/>
      <color theme="1"/>
      <name val="Georgia"/>
      <family val="1"/>
    </font>
    <font>
      <sz val="13"/>
      <color theme="1"/>
      <name val="Georgia"/>
      <family val="1"/>
    </font>
    <font>
      <b/>
      <sz val="10"/>
      <color theme="1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8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8" fontId="1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33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37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30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10" fillId="2" borderId="31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/>
    </xf>
    <xf numFmtId="8" fontId="2" fillId="2" borderId="18" xfId="0" applyNumberFormat="1" applyFont="1" applyFill="1" applyBorder="1" applyAlignment="1">
      <alignment horizontal="center" vertical="center"/>
    </xf>
    <xf numFmtId="8" fontId="2" fillId="2" borderId="19" xfId="0" applyNumberFormat="1" applyFont="1" applyFill="1" applyBorder="1" applyAlignment="1">
      <alignment horizontal="center" vertical="center"/>
    </xf>
    <xf numFmtId="8" fontId="2" fillId="2" borderId="20" xfId="0" applyNumberFormat="1" applyFont="1" applyFill="1" applyBorder="1" applyAlignment="1">
      <alignment horizontal="center" vertical="center"/>
    </xf>
    <xf numFmtId="8" fontId="2" fillId="2" borderId="21" xfId="0" applyNumberFormat="1" applyFont="1" applyFill="1" applyBorder="1" applyAlignment="1">
      <alignment horizontal="center" vertical="center"/>
    </xf>
    <xf numFmtId="8" fontId="2" fillId="4" borderId="5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8" fontId="4" fillId="2" borderId="18" xfId="0" applyNumberFormat="1" applyFont="1" applyFill="1" applyBorder="1" applyAlignment="1">
      <alignment horizontal="center" vertical="center"/>
    </xf>
    <xf numFmtId="8" fontId="4" fillId="2" borderId="10" xfId="0" quotePrefix="1" applyNumberFormat="1" applyFont="1" applyFill="1" applyBorder="1" applyAlignment="1">
      <alignment horizontal="center" vertical="center"/>
    </xf>
    <xf numFmtId="10" fontId="4" fillId="2" borderId="18" xfId="0" applyNumberFormat="1" applyFont="1" applyFill="1" applyBorder="1" applyAlignment="1">
      <alignment horizontal="center" vertical="center"/>
    </xf>
    <xf numFmtId="40" fontId="4" fillId="2" borderId="18" xfId="0" applyNumberFormat="1" applyFont="1" applyFill="1" applyBorder="1" applyAlignment="1">
      <alignment horizontal="center" vertical="center"/>
    </xf>
    <xf numFmtId="8" fontId="4" fillId="2" borderId="19" xfId="0" applyNumberFormat="1" applyFont="1" applyFill="1" applyBorder="1" applyAlignment="1">
      <alignment horizontal="center" vertical="center"/>
    </xf>
    <xf numFmtId="8" fontId="4" fillId="2" borderId="3" xfId="0" quotePrefix="1" applyNumberFormat="1" applyFont="1" applyFill="1" applyBorder="1" applyAlignment="1">
      <alignment horizontal="center" vertical="center"/>
    </xf>
    <xf numFmtId="10" fontId="4" fillId="2" borderId="19" xfId="0" applyNumberFormat="1" applyFont="1" applyFill="1" applyBorder="1" applyAlignment="1">
      <alignment horizontal="center" vertical="center"/>
    </xf>
    <xf numFmtId="40" fontId="4" fillId="2" borderId="19" xfId="0" applyNumberFormat="1" applyFont="1" applyFill="1" applyBorder="1" applyAlignment="1">
      <alignment horizontal="center" vertical="center"/>
    </xf>
    <xf numFmtId="8" fontId="4" fillId="2" borderId="21" xfId="0" applyNumberFormat="1" applyFont="1" applyFill="1" applyBorder="1" applyAlignment="1">
      <alignment horizontal="center" vertical="center"/>
    </xf>
    <xf numFmtId="8" fontId="4" fillId="2" borderId="4" xfId="0" quotePrefix="1" applyNumberFormat="1" applyFont="1" applyFill="1" applyBorder="1" applyAlignment="1">
      <alignment horizontal="center" vertical="center"/>
    </xf>
    <xf numFmtId="10" fontId="4" fillId="2" borderId="21" xfId="0" applyNumberFormat="1" applyFont="1" applyFill="1" applyBorder="1" applyAlignment="1">
      <alignment horizontal="center" vertical="center"/>
    </xf>
    <xf numFmtId="40" fontId="4" fillId="2" borderId="21" xfId="0" applyNumberFormat="1" applyFont="1" applyFill="1" applyBorder="1" applyAlignment="1">
      <alignment horizontal="center" vertical="center"/>
    </xf>
    <xf numFmtId="8" fontId="4" fillId="2" borderId="27" xfId="0" applyNumberFormat="1" applyFont="1" applyFill="1" applyBorder="1" applyAlignment="1">
      <alignment horizontal="center" vertical="center"/>
    </xf>
    <xf numFmtId="8" fontId="4" fillId="2" borderId="2" xfId="0" quotePrefix="1" applyNumberFormat="1" applyFont="1" applyFill="1" applyBorder="1" applyAlignment="1">
      <alignment horizontal="center" vertical="center"/>
    </xf>
    <xf numFmtId="10" fontId="4" fillId="2" borderId="27" xfId="0" applyNumberFormat="1" applyFont="1" applyFill="1" applyBorder="1" applyAlignment="1">
      <alignment horizontal="center" vertical="center"/>
    </xf>
    <xf numFmtId="40" fontId="4" fillId="2" borderId="27" xfId="0" applyNumberFormat="1" applyFont="1" applyFill="1" applyBorder="1" applyAlignment="1">
      <alignment horizontal="center" vertical="center"/>
    </xf>
    <xf numFmtId="8" fontId="2" fillId="2" borderId="27" xfId="0" applyNumberFormat="1" applyFont="1" applyFill="1" applyBorder="1" applyAlignment="1">
      <alignment horizontal="center" vertical="center"/>
    </xf>
    <xf numFmtId="8" fontId="4" fillId="2" borderId="20" xfId="0" applyNumberFormat="1" applyFont="1" applyFill="1" applyBorder="1" applyAlignment="1">
      <alignment horizontal="center" vertical="center"/>
    </xf>
    <xf numFmtId="8" fontId="4" fillId="2" borderId="14" xfId="0" quotePrefix="1" applyNumberFormat="1" applyFont="1" applyFill="1" applyBorder="1" applyAlignment="1">
      <alignment horizontal="center" vertical="center"/>
    </xf>
    <xf numFmtId="10" fontId="4" fillId="2" borderId="20" xfId="0" applyNumberFormat="1" applyFont="1" applyFill="1" applyBorder="1" applyAlignment="1">
      <alignment horizontal="center" vertical="center"/>
    </xf>
    <xf numFmtId="40" fontId="4" fillId="2" borderId="20" xfId="0" applyNumberFormat="1" applyFont="1" applyFill="1" applyBorder="1" applyAlignment="1">
      <alignment horizontal="center" vertical="center"/>
    </xf>
    <xf numFmtId="8" fontId="4" fillId="2" borderId="17" xfId="0" applyNumberFormat="1" applyFont="1" applyFill="1" applyBorder="1" applyAlignment="1">
      <alignment horizontal="center" vertical="center"/>
    </xf>
    <xf numFmtId="8" fontId="4" fillId="2" borderId="30" xfId="0" applyNumberFormat="1" applyFont="1" applyFill="1" applyBorder="1" applyAlignment="1">
      <alignment horizontal="center" vertical="center"/>
    </xf>
    <xf numFmtId="8" fontId="4" fillId="2" borderId="13" xfId="0" applyNumberFormat="1" applyFont="1" applyFill="1" applyBorder="1" applyAlignment="1">
      <alignment horizontal="center" vertical="center"/>
    </xf>
    <xf numFmtId="8" fontId="4" fillId="2" borderId="31" xfId="0" applyNumberFormat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35" xfId="0" quotePrefix="1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 wrapText="1"/>
    </xf>
    <xf numFmtId="8" fontId="4" fillId="2" borderId="40" xfId="0" applyNumberFormat="1" applyFont="1" applyFill="1" applyBorder="1" applyAlignment="1">
      <alignment horizontal="center" vertical="center"/>
    </xf>
    <xf numFmtId="8" fontId="4" fillId="2" borderId="41" xfId="0" applyNumberFormat="1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left" wrapText="1"/>
    </xf>
    <xf numFmtId="0" fontId="9" fillId="4" borderId="32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9" fillId="4" borderId="25" xfId="0" applyFont="1" applyFill="1" applyBorder="1" applyAlignment="1">
      <alignment horizontal="left"/>
    </xf>
    <xf numFmtId="0" fontId="9" fillId="4" borderId="15" xfId="0" applyFont="1" applyFill="1" applyBorder="1" applyAlignment="1">
      <alignment horizontal="left"/>
    </xf>
    <xf numFmtId="0" fontId="9" fillId="4" borderId="16" xfId="0" applyFont="1" applyFill="1" applyBorder="1" applyAlignment="1">
      <alignment horizontal="left"/>
    </xf>
    <xf numFmtId="0" fontId="9" fillId="4" borderId="28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 vertical="center" wrapText="1"/>
    </xf>
    <xf numFmtId="8" fontId="4" fillId="2" borderId="12" xfId="0" applyNumberFormat="1" applyFont="1" applyFill="1" applyBorder="1" applyAlignment="1">
      <alignment horizontal="center" vertical="center"/>
    </xf>
    <xf numFmtId="8" fontId="4" fillId="2" borderId="29" xfId="0" applyNumberFormat="1" applyFont="1" applyFill="1" applyBorder="1" applyAlignment="1">
      <alignment horizontal="center" vertical="center"/>
    </xf>
    <xf numFmtId="8" fontId="4" fillId="2" borderId="9" xfId="0" applyNumberFormat="1" applyFont="1" applyFill="1" applyBorder="1" applyAlignment="1">
      <alignment horizontal="center" vertical="center"/>
    </xf>
    <xf numFmtId="8" fontId="4" fillId="2" borderId="37" xfId="0" applyNumberFormat="1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8" fontId="4" fillId="2" borderId="38" xfId="0" applyNumberFormat="1" applyFont="1" applyFill="1" applyBorder="1" applyAlignment="1">
      <alignment horizontal="center" vertical="center"/>
    </xf>
    <xf numFmtId="8" fontId="4" fillId="2" borderId="3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zoomScaleNormal="100" workbookViewId="0">
      <selection activeCell="A3" sqref="A3:P3"/>
    </sheetView>
  </sheetViews>
  <sheetFormatPr defaultRowHeight="15" x14ac:dyDescent="0.25"/>
  <cols>
    <col min="1" max="1" width="5.7109375" style="1" customWidth="1"/>
    <col min="2" max="2" width="17.7109375" style="1" customWidth="1"/>
    <col min="3" max="3" width="5.7109375" style="1" customWidth="1"/>
    <col min="4" max="4" width="17.7109375" style="1" customWidth="1"/>
    <col min="5" max="5" width="5.7109375" style="1" customWidth="1"/>
    <col min="6" max="6" width="17.7109375" style="2" customWidth="1"/>
    <col min="7" max="7" width="5.7109375" style="1" customWidth="1"/>
    <col min="8" max="8" width="17.7109375" style="2" customWidth="1"/>
    <col min="9" max="9" width="5.7109375" style="2" customWidth="1"/>
    <col min="10" max="10" width="17.7109375" style="2" customWidth="1"/>
    <col min="11" max="11" width="5.7109375" style="2" customWidth="1"/>
    <col min="12" max="12" width="17.7109375" style="2" customWidth="1"/>
    <col min="13" max="13" width="5.7109375" style="2" customWidth="1"/>
    <col min="14" max="14" width="17.7109375" style="2" customWidth="1"/>
    <col min="15" max="15" width="5.7109375" style="2" customWidth="1"/>
    <col min="16" max="16" width="17.7109375" style="2" customWidth="1"/>
    <col min="17" max="18" width="9.85546875" style="1" bestFit="1" customWidth="1"/>
    <col min="19" max="16384" width="9.140625" style="1"/>
  </cols>
  <sheetData>
    <row r="1" spans="1:17" s="7" customFormat="1" ht="45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7" ht="20.2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s="8" customFormat="1" ht="30" x14ac:dyDescent="0.2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7" ht="27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s="3" customFormat="1" ht="24" customHeight="1" thickBot="1" x14ac:dyDescent="0.3">
      <c r="C5" s="88" t="s">
        <v>10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90"/>
    </row>
    <row r="6" spans="1:17" ht="24" customHeight="1" x14ac:dyDescent="0.25">
      <c r="C6" s="30" t="s">
        <v>2</v>
      </c>
      <c r="D6" s="31"/>
      <c r="E6" s="31"/>
      <c r="F6" s="31"/>
      <c r="G6" s="31"/>
      <c r="H6" s="25">
        <v>32.5</v>
      </c>
      <c r="I6" s="30" t="s">
        <v>6</v>
      </c>
      <c r="J6" s="31"/>
      <c r="K6" s="31"/>
      <c r="L6" s="31"/>
      <c r="M6" s="31"/>
      <c r="N6" s="25">
        <v>20</v>
      </c>
      <c r="O6" s="1"/>
      <c r="P6" s="1"/>
    </row>
    <row r="7" spans="1:17" ht="24" customHeight="1" x14ac:dyDescent="0.25">
      <c r="C7" s="32" t="s">
        <v>3</v>
      </c>
      <c r="D7" s="33"/>
      <c r="E7" s="33"/>
      <c r="F7" s="33"/>
      <c r="G7" s="33"/>
      <c r="H7" s="26">
        <v>2</v>
      </c>
      <c r="I7" s="32" t="s">
        <v>7</v>
      </c>
      <c r="J7" s="33"/>
      <c r="K7" s="33"/>
      <c r="L7" s="33"/>
      <c r="M7" s="33"/>
      <c r="N7" s="26">
        <v>4.5</v>
      </c>
      <c r="O7" s="1"/>
      <c r="P7" s="1"/>
    </row>
    <row r="8" spans="1:17" ht="24" customHeight="1" x14ac:dyDescent="0.25">
      <c r="C8" s="32" t="s">
        <v>4</v>
      </c>
      <c r="D8" s="33"/>
      <c r="E8" s="33"/>
      <c r="F8" s="33"/>
      <c r="G8" s="33"/>
      <c r="H8" s="26">
        <v>15</v>
      </c>
      <c r="I8" s="34" t="s">
        <v>8</v>
      </c>
      <c r="J8" s="35"/>
      <c r="K8" s="35"/>
      <c r="L8" s="35"/>
      <c r="M8" s="35"/>
      <c r="N8" s="28">
        <v>6</v>
      </c>
      <c r="O8" s="1"/>
      <c r="P8" s="1"/>
    </row>
    <row r="9" spans="1:17" ht="24" customHeight="1" thickBot="1" x14ac:dyDescent="0.3">
      <c r="C9" s="36" t="s">
        <v>5</v>
      </c>
      <c r="D9" s="37"/>
      <c r="E9" s="37"/>
      <c r="F9" s="37"/>
      <c r="G9" s="37"/>
      <c r="H9" s="27">
        <v>228</v>
      </c>
      <c r="I9" s="34" t="s">
        <v>44</v>
      </c>
      <c r="J9" s="35"/>
      <c r="K9" s="35"/>
      <c r="L9" s="35"/>
      <c r="M9" s="35"/>
      <c r="N9" s="28">
        <v>6</v>
      </c>
      <c r="O9" s="1"/>
      <c r="P9" s="1"/>
    </row>
    <row r="10" spans="1:17" s="3" customFormat="1" ht="27" customHeight="1" thickBot="1" x14ac:dyDescent="0.3">
      <c r="C10" s="91" t="s">
        <v>9</v>
      </c>
      <c r="D10" s="92"/>
      <c r="E10" s="92"/>
      <c r="F10" s="92"/>
      <c r="G10" s="92"/>
      <c r="H10" s="92"/>
      <c r="I10" s="92"/>
      <c r="J10" s="92"/>
      <c r="K10" s="92"/>
      <c r="L10" s="92"/>
      <c r="M10" s="93"/>
      <c r="N10" s="29">
        <f>H6+H7+H8+H9+N6+N7+N8+N9</f>
        <v>314</v>
      </c>
      <c r="O10" s="4"/>
      <c r="P10" s="5"/>
    </row>
    <row r="11" spans="1:17" s="3" customFormat="1" ht="27" customHeight="1" thickBot="1" x14ac:dyDescent="0.3">
      <c r="F11" s="4"/>
      <c r="H11" s="4"/>
      <c r="I11" s="4"/>
      <c r="J11" s="4"/>
      <c r="K11" s="4"/>
      <c r="L11" s="4"/>
      <c r="M11" s="4"/>
      <c r="N11" s="4"/>
      <c r="O11" s="4"/>
      <c r="P11" s="5"/>
    </row>
    <row r="12" spans="1:17" ht="24" customHeight="1" thickBot="1" x14ac:dyDescent="0.3">
      <c r="A12" s="94" t="s">
        <v>38</v>
      </c>
      <c r="B12" s="95"/>
      <c r="C12" s="95"/>
      <c r="D12" s="95"/>
      <c r="E12" s="95"/>
      <c r="F12" s="95"/>
      <c r="G12" s="96"/>
      <c r="H12" s="97" t="s">
        <v>33</v>
      </c>
      <c r="I12" s="98"/>
      <c r="J12" s="98"/>
      <c r="K12" s="98"/>
      <c r="L12" s="98"/>
      <c r="M12" s="98"/>
      <c r="N12" s="98"/>
      <c r="O12" s="98"/>
      <c r="P12" s="99"/>
    </row>
    <row r="13" spans="1:17" s="3" customFormat="1" ht="24" customHeight="1" x14ac:dyDescent="0.25">
      <c r="A13" s="85" t="s">
        <v>34</v>
      </c>
      <c r="B13" s="71"/>
      <c r="C13" s="71"/>
      <c r="D13" s="71"/>
      <c r="E13" s="72"/>
      <c r="F13" s="76" t="s">
        <v>11</v>
      </c>
      <c r="G13" s="77"/>
      <c r="H13" s="67" t="s">
        <v>37</v>
      </c>
      <c r="I13" s="65" t="s">
        <v>31</v>
      </c>
      <c r="J13" s="67" t="s">
        <v>30</v>
      </c>
      <c r="K13" s="65" t="s">
        <v>36</v>
      </c>
      <c r="L13" s="63" t="s">
        <v>29</v>
      </c>
      <c r="M13" s="65" t="s">
        <v>36</v>
      </c>
      <c r="N13" s="63" t="s">
        <v>28</v>
      </c>
      <c r="O13" s="65" t="s">
        <v>32</v>
      </c>
      <c r="P13" s="67" t="s">
        <v>12</v>
      </c>
    </row>
    <row r="14" spans="1:17" s="3" customFormat="1" ht="24" customHeight="1" thickBot="1" x14ac:dyDescent="0.3">
      <c r="A14" s="73"/>
      <c r="B14" s="74"/>
      <c r="C14" s="74"/>
      <c r="D14" s="74"/>
      <c r="E14" s="75"/>
      <c r="F14" s="78"/>
      <c r="G14" s="79"/>
      <c r="H14" s="80"/>
      <c r="I14" s="66"/>
      <c r="J14" s="64"/>
      <c r="K14" s="66"/>
      <c r="L14" s="64"/>
      <c r="M14" s="66"/>
      <c r="N14" s="64"/>
      <c r="O14" s="66"/>
      <c r="P14" s="64"/>
    </row>
    <row r="15" spans="1:17" ht="24" customHeight="1" x14ac:dyDescent="0.25">
      <c r="A15" s="9" t="s">
        <v>35</v>
      </c>
      <c r="B15" s="10"/>
      <c r="C15" s="11"/>
      <c r="D15" s="11"/>
      <c r="E15" s="12"/>
      <c r="F15" s="83">
        <v>30.09</v>
      </c>
      <c r="G15" s="84"/>
      <c r="H15" s="38">
        <f t="shared" ref="H15:H21" si="0">$N$10</f>
        <v>314</v>
      </c>
      <c r="I15" s="39" t="s">
        <v>31</v>
      </c>
      <c r="J15" s="38">
        <f>$F$20</f>
        <v>60.17</v>
      </c>
      <c r="K15" s="39" t="s">
        <v>36</v>
      </c>
      <c r="L15" s="40">
        <v>0.5</v>
      </c>
      <c r="M15" s="39" t="s">
        <v>36</v>
      </c>
      <c r="N15" s="41">
        <v>9</v>
      </c>
      <c r="O15" s="39" t="s">
        <v>32</v>
      </c>
      <c r="P15" s="25" t="s">
        <v>40</v>
      </c>
    </row>
    <row r="16" spans="1:17" ht="24" customHeight="1" x14ac:dyDescent="0.25">
      <c r="A16" s="13" t="s">
        <v>13</v>
      </c>
      <c r="B16" s="13"/>
      <c r="C16" s="14"/>
      <c r="D16" s="14"/>
      <c r="E16" s="15"/>
      <c r="F16" s="81">
        <v>33.090000000000003</v>
      </c>
      <c r="G16" s="82"/>
      <c r="H16" s="42">
        <f t="shared" si="0"/>
        <v>314</v>
      </c>
      <c r="I16" s="43" t="s">
        <v>31</v>
      </c>
      <c r="J16" s="42">
        <f t="shared" ref="J16:J21" si="1">$F$20</f>
        <v>60.17</v>
      </c>
      <c r="K16" s="43" t="s">
        <v>36</v>
      </c>
      <c r="L16" s="44">
        <v>0.55000000000000004</v>
      </c>
      <c r="M16" s="43" t="s">
        <v>36</v>
      </c>
      <c r="N16" s="45">
        <v>9</v>
      </c>
      <c r="O16" s="43" t="s">
        <v>32</v>
      </c>
      <c r="P16" s="26">
        <f>$N$10+(($F$20*0.55)*9)</f>
        <v>611.8415</v>
      </c>
      <c r="Q16" s="6"/>
    </row>
    <row r="17" spans="1:17" ht="24" customHeight="1" x14ac:dyDescent="0.25">
      <c r="A17" s="13" t="s">
        <v>14</v>
      </c>
      <c r="B17" s="13"/>
      <c r="C17" s="14"/>
      <c r="D17" s="14"/>
      <c r="E17" s="15"/>
      <c r="F17" s="81">
        <v>39.11</v>
      </c>
      <c r="G17" s="82"/>
      <c r="H17" s="42">
        <f t="shared" si="0"/>
        <v>314</v>
      </c>
      <c r="I17" s="43" t="s">
        <v>31</v>
      </c>
      <c r="J17" s="42">
        <f t="shared" si="1"/>
        <v>60.17</v>
      </c>
      <c r="K17" s="43" t="s">
        <v>36</v>
      </c>
      <c r="L17" s="44">
        <v>0.65</v>
      </c>
      <c r="M17" s="43" t="s">
        <v>36</v>
      </c>
      <c r="N17" s="45">
        <v>9</v>
      </c>
      <c r="O17" s="43" t="s">
        <v>32</v>
      </c>
      <c r="P17" s="26">
        <f>$N$10+(($F$20*0.65)*9)</f>
        <v>665.99450000000002</v>
      </c>
      <c r="Q17" s="6"/>
    </row>
    <row r="18" spans="1:17" ht="24" customHeight="1" x14ac:dyDescent="0.25">
      <c r="A18" s="13" t="s">
        <v>15</v>
      </c>
      <c r="B18" s="13"/>
      <c r="C18" s="14"/>
      <c r="D18" s="14"/>
      <c r="E18" s="15"/>
      <c r="F18" s="81">
        <v>42.12</v>
      </c>
      <c r="G18" s="82"/>
      <c r="H18" s="42">
        <f t="shared" si="0"/>
        <v>314</v>
      </c>
      <c r="I18" s="43" t="s">
        <v>31</v>
      </c>
      <c r="J18" s="42">
        <f t="shared" si="1"/>
        <v>60.17</v>
      </c>
      <c r="K18" s="43" t="s">
        <v>36</v>
      </c>
      <c r="L18" s="44">
        <v>0.7</v>
      </c>
      <c r="M18" s="43" t="s">
        <v>36</v>
      </c>
      <c r="N18" s="45">
        <v>9</v>
      </c>
      <c r="O18" s="43" t="s">
        <v>32</v>
      </c>
      <c r="P18" s="26">
        <f>$N$10+(($F$20*0.7)*9)</f>
        <v>693.07100000000003</v>
      </c>
      <c r="Q18" s="6"/>
    </row>
    <row r="19" spans="1:17" ht="24" customHeight="1" x14ac:dyDescent="0.25">
      <c r="A19" s="13" t="s">
        <v>16</v>
      </c>
      <c r="B19" s="13"/>
      <c r="C19" s="14"/>
      <c r="D19" s="24"/>
      <c r="E19" s="15"/>
      <c r="F19" s="81">
        <v>48.14</v>
      </c>
      <c r="G19" s="82"/>
      <c r="H19" s="42">
        <f t="shared" si="0"/>
        <v>314</v>
      </c>
      <c r="I19" s="43" t="s">
        <v>31</v>
      </c>
      <c r="J19" s="42">
        <f t="shared" si="1"/>
        <v>60.17</v>
      </c>
      <c r="K19" s="43" t="s">
        <v>36</v>
      </c>
      <c r="L19" s="44">
        <v>0.8</v>
      </c>
      <c r="M19" s="43" t="s">
        <v>36</v>
      </c>
      <c r="N19" s="45">
        <v>9</v>
      </c>
      <c r="O19" s="43" t="s">
        <v>32</v>
      </c>
      <c r="P19" s="26">
        <f>$N$10+(($F$20*0.8)*9)</f>
        <v>747.22400000000005</v>
      </c>
      <c r="Q19" s="6"/>
    </row>
    <row r="20" spans="1:17" ht="24" customHeight="1" x14ac:dyDescent="0.25">
      <c r="A20" s="13" t="s">
        <v>17</v>
      </c>
      <c r="B20" s="13"/>
      <c r="C20" s="14"/>
      <c r="D20" s="14"/>
      <c r="E20" s="15"/>
      <c r="F20" s="81">
        <v>60.17</v>
      </c>
      <c r="G20" s="82"/>
      <c r="H20" s="42">
        <f t="shared" si="0"/>
        <v>314</v>
      </c>
      <c r="I20" s="43" t="s">
        <v>31</v>
      </c>
      <c r="J20" s="42">
        <f t="shared" si="1"/>
        <v>60.17</v>
      </c>
      <c r="K20" s="43" t="s">
        <v>36</v>
      </c>
      <c r="L20" s="44">
        <v>1</v>
      </c>
      <c r="M20" s="43" t="s">
        <v>36</v>
      </c>
      <c r="N20" s="45">
        <v>9</v>
      </c>
      <c r="O20" s="43" t="s">
        <v>32</v>
      </c>
      <c r="P20" s="26">
        <f>$N$10+(($F$20*1)*9)</f>
        <v>855.53</v>
      </c>
      <c r="Q20" s="6"/>
    </row>
    <row r="21" spans="1:17" ht="24" customHeight="1" thickBot="1" x14ac:dyDescent="0.3">
      <c r="A21" s="16" t="s">
        <v>18</v>
      </c>
      <c r="B21" s="16"/>
      <c r="C21" s="17"/>
      <c r="D21" s="17"/>
      <c r="E21" s="18"/>
      <c r="F21" s="59">
        <v>67.69</v>
      </c>
      <c r="G21" s="60"/>
      <c r="H21" s="46">
        <f t="shared" si="0"/>
        <v>314</v>
      </c>
      <c r="I21" s="47" t="s">
        <v>31</v>
      </c>
      <c r="J21" s="46">
        <f t="shared" si="1"/>
        <v>60.17</v>
      </c>
      <c r="K21" s="47" t="s">
        <v>36</v>
      </c>
      <c r="L21" s="48">
        <v>1.125</v>
      </c>
      <c r="M21" s="47" t="s">
        <v>36</v>
      </c>
      <c r="N21" s="49">
        <v>9</v>
      </c>
      <c r="O21" s="47" t="s">
        <v>32</v>
      </c>
      <c r="P21" s="28">
        <f>$N$10+(($F$20*1.125)*9)</f>
        <v>923.22124999999994</v>
      </c>
      <c r="Q21" s="6"/>
    </row>
    <row r="22" spans="1:17" s="3" customFormat="1" ht="24" customHeight="1" x14ac:dyDescent="0.25">
      <c r="A22" s="70" t="s">
        <v>39</v>
      </c>
      <c r="B22" s="71"/>
      <c r="C22" s="71"/>
      <c r="D22" s="71"/>
      <c r="E22" s="72"/>
      <c r="F22" s="76" t="s">
        <v>11</v>
      </c>
      <c r="G22" s="77"/>
      <c r="H22" s="67" t="s">
        <v>37</v>
      </c>
      <c r="I22" s="65" t="s">
        <v>31</v>
      </c>
      <c r="J22" s="67" t="s">
        <v>30</v>
      </c>
      <c r="K22" s="65" t="s">
        <v>36</v>
      </c>
      <c r="L22" s="63" t="s">
        <v>29</v>
      </c>
      <c r="M22" s="65" t="s">
        <v>36</v>
      </c>
      <c r="N22" s="63" t="s">
        <v>28</v>
      </c>
      <c r="O22" s="65" t="s">
        <v>32</v>
      </c>
      <c r="P22" s="67" t="s">
        <v>12</v>
      </c>
    </row>
    <row r="23" spans="1:17" s="3" customFormat="1" ht="24" customHeight="1" thickBot="1" x14ac:dyDescent="0.3">
      <c r="A23" s="73"/>
      <c r="B23" s="74"/>
      <c r="C23" s="74"/>
      <c r="D23" s="74"/>
      <c r="E23" s="75"/>
      <c r="F23" s="78"/>
      <c r="G23" s="79"/>
      <c r="H23" s="80"/>
      <c r="I23" s="66"/>
      <c r="J23" s="64"/>
      <c r="K23" s="66"/>
      <c r="L23" s="64"/>
      <c r="M23" s="66"/>
      <c r="N23" s="64"/>
      <c r="O23" s="66"/>
      <c r="P23" s="64"/>
    </row>
    <row r="24" spans="1:17" ht="24" customHeight="1" x14ac:dyDescent="0.25">
      <c r="A24" s="9" t="s">
        <v>19</v>
      </c>
      <c r="B24" s="19"/>
      <c r="C24" s="19"/>
      <c r="D24" s="19"/>
      <c r="E24" s="20"/>
      <c r="F24" s="100">
        <f>$F$20*1.03</f>
        <v>61.975100000000005</v>
      </c>
      <c r="G24" s="101"/>
      <c r="H24" s="50">
        <f t="shared" ref="H24:H35" si="2">$N$10</f>
        <v>314</v>
      </c>
      <c r="I24" s="51" t="s">
        <v>31</v>
      </c>
      <c r="J24" s="50">
        <f>$F$20</f>
        <v>60.17</v>
      </c>
      <c r="K24" s="51" t="s">
        <v>36</v>
      </c>
      <c r="L24" s="52">
        <v>1.03</v>
      </c>
      <c r="M24" s="51" t="s">
        <v>36</v>
      </c>
      <c r="N24" s="53">
        <v>9</v>
      </c>
      <c r="O24" s="51" t="s">
        <v>32</v>
      </c>
      <c r="P24" s="54">
        <f>$N$10+(($F$20*1.03)*9)</f>
        <v>871.77590000000009</v>
      </c>
      <c r="Q24" s="6"/>
    </row>
    <row r="25" spans="1:17" ht="24" customHeight="1" x14ac:dyDescent="0.25">
      <c r="A25" s="13" t="s">
        <v>41</v>
      </c>
      <c r="B25" s="14"/>
      <c r="C25" s="14"/>
      <c r="D25" s="14"/>
      <c r="E25" s="15"/>
      <c r="F25" s="59">
        <f>$F$20*1.04</f>
        <v>62.576800000000006</v>
      </c>
      <c r="G25" s="60"/>
      <c r="H25" s="42">
        <f t="shared" si="2"/>
        <v>314</v>
      </c>
      <c r="I25" s="43" t="s">
        <v>31</v>
      </c>
      <c r="J25" s="42">
        <f t="shared" ref="J25:J35" si="3">$F$20</f>
        <v>60.17</v>
      </c>
      <c r="K25" s="43" t="s">
        <v>36</v>
      </c>
      <c r="L25" s="44">
        <v>1.04</v>
      </c>
      <c r="M25" s="43" t="s">
        <v>36</v>
      </c>
      <c r="N25" s="45">
        <v>9</v>
      </c>
      <c r="O25" s="43" t="s">
        <v>32</v>
      </c>
      <c r="P25" s="26">
        <f>$N$10+(($F$20*1.04)*9)</f>
        <v>877.19120000000009</v>
      </c>
      <c r="Q25" s="6"/>
    </row>
    <row r="26" spans="1:17" ht="24" customHeight="1" x14ac:dyDescent="0.25">
      <c r="A26" s="13" t="s">
        <v>20</v>
      </c>
      <c r="B26" s="14"/>
      <c r="C26" s="14"/>
      <c r="D26" s="14"/>
      <c r="E26" s="15"/>
      <c r="F26" s="59">
        <f>$F$20*1.06</f>
        <v>63.780200000000008</v>
      </c>
      <c r="G26" s="60"/>
      <c r="H26" s="42">
        <f t="shared" si="2"/>
        <v>314</v>
      </c>
      <c r="I26" s="43" t="s">
        <v>31</v>
      </c>
      <c r="J26" s="42">
        <f t="shared" si="3"/>
        <v>60.17</v>
      </c>
      <c r="K26" s="43" t="s">
        <v>36</v>
      </c>
      <c r="L26" s="44">
        <v>1.06</v>
      </c>
      <c r="M26" s="43" t="s">
        <v>36</v>
      </c>
      <c r="N26" s="45">
        <v>9</v>
      </c>
      <c r="O26" s="43" t="s">
        <v>32</v>
      </c>
      <c r="P26" s="26">
        <f>$N$10+(($F$20*1.06)*9)</f>
        <v>888.0218000000001</v>
      </c>
      <c r="Q26" s="6"/>
    </row>
    <row r="27" spans="1:17" ht="24" customHeight="1" x14ac:dyDescent="0.25">
      <c r="A27" s="13" t="s">
        <v>42</v>
      </c>
      <c r="B27" s="14"/>
      <c r="C27" s="14"/>
      <c r="D27" s="14"/>
      <c r="E27" s="15"/>
      <c r="F27" s="59">
        <f>$F$20*1.08</f>
        <v>64.98360000000001</v>
      </c>
      <c r="G27" s="60"/>
      <c r="H27" s="42">
        <f t="shared" si="2"/>
        <v>314</v>
      </c>
      <c r="I27" s="43" t="s">
        <v>31</v>
      </c>
      <c r="J27" s="42">
        <f t="shared" si="3"/>
        <v>60.17</v>
      </c>
      <c r="K27" s="43" t="s">
        <v>36</v>
      </c>
      <c r="L27" s="44">
        <v>1.08</v>
      </c>
      <c r="M27" s="43" t="s">
        <v>36</v>
      </c>
      <c r="N27" s="45">
        <v>9</v>
      </c>
      <c r="O27" s="43" t="s">
        <v>32</v>
      </c>
      <c r="P27" s="26">
        <f>$N$10+(($F$20*1.08)*9)</f>
        <v>898.8524000000001</v>
      </c>
      <c r="Q27" s="6"/>
    </row>
    <row r="28" spans="1:17" ht="24" customHeight="1" x14ac:dyDescent="0.25">
      <c r="A28" s="13" t="s">
        <v>43</v>
      </c>
      <c r="B28" s="14"/>
      <c r="C28" s="14"/>
      <c r="D28" s="14"/>
      <c r="E28" s="15"/>
      <c r="F28" s="59">
        <f>$F$20*1.09</f>
        <v>65.585300000000004</v>
      </c>
      <c r="G28" s="60"/>
      <c r="H28" s="42">
        <f t="shared" si="2"/>
        <v>314</v>
      </c>
      <c r="I28" s="43" t="s">
        <v>31</v>
      </c>
      <c r="J28" s="42">
        <f t="shared" si="3"/>
        <v>60.17</v>
      </c>
      <c r="K28" s="43" t="s">
        <v>36</v>
      </c>
      <c r="L28" s="44">
        <v>1.0900000000000001</v>
      </c>
      <c r="M28" s="43" t="s">
        <v>36</v>
      </c>
      <c r="N28" s="45">
        <v>9</v>
      </c>
      <c r="O28" s="43" t="s">
        <v>32</v>
      </c>
      <c r="P28" s="26">
        <f>$N$10+(($F$20*1.09)*9)</f>
        <v>904.26769999999999</v>
      </c>
      <c r="Q28" s="6"/>
    </row>
    <row r="29" spans="1:17" ht="24" customHeight="1" x14ac:dyDescent="0.25">
      <c r="A29" s="13" t="s">
        <v>21</v>
      </c>
      <c r="B29" s="14"/>
      <c r="C29" s="14"/>
      <c r="D29" s="14"/>
      <c r="E29" s="15"/>
      <c r="F29" s="59">
        <f>$F$20*1.1</f>
        <v>66.187000000000012</v>
      </c>
      <c r="G29" s="60"/>
      <c r="H29" s="42">
        <f t="shared" si="2"/>
        <v>314</v>
      </c>
      <c r="I29" s="43" t="s">
        <v>31</v>
      </c>
      <c r="J29" s="42">
        <f t="shared" si="3"/>
        <v>60.17</v>
      </c>
      <c r="K29" s="43" t="s">
        <v>36</v>
      </c>
      <c r="L29" s="44">
        <v>1.1000000000000001</v>
      </c>
      <c r="M29" s="43" t="s">
        <v>36</v>
      </c>
      <c r="N29" s="45">
        <v>9</v>
      </c>
      <c r="O29" s="43" t="s">
        <v>32</v>
      </c>
      <c r="P29" s="26">
        <f>$N$10+(($F$20*1.1)*9)</f>
        <v>909.68300000000011</v>
      </c>
      <c r="Q29" s="6"/>
    </row>
    <row r="30" spans="1:17" ht="24" customHeight="1" x14ac:dyDescent="0.25">
      <c r="A30" s="13" t="s">
        <v>22</v>
      </c>
      <c r="B30" s="14"/>
      <c r="C30" s="14"/>
      <c r="D30" s="14"/>
      <c r="E30" s="15"/>
      <c r="F30" s="59">
        <f>$F$20*1.175</f>
        <v>70.699750000000009</v>
      </c>
      <c r="G30" s="60"/>
      <c r="H30" s="42">
        <f t="shared" si="2"/>
        <v>314</v>
      </c>
      <c r="I30" s="43" t="s">
        <v>31</v>
      </c>
      <c r="J30" s="42">
        <f t="shared" si="3"/>
        <v>60.17</v>
      </c>
      <c r="K30" s="43" t="s">
        <v>36</v>
      </c>
      <c r="L30" s="44">
        <v>1.175</v>
      </c>
      <c r="M30" s="43" t="s">
        <v>36</v>
      </c>
      <c r="N30" s="45">
        <v>9</v>
      </c>
      <c r="O30" s="43" t="s">
        <v>32</v>
      </c>
      <c r="P30" s="26">
        <f>$N$10+(($F$20*1.175)*9)</f>
        <v>950.29775000000006</v>
      </c>
      <c r="Q30" s="6"/>
    </row>
    <row r="31" spans="1:17" ht="24" customHeight="1" x14ac:dyDescent="0.25">
      <c r="A31" s="13" t="s">
        <v>23</v>
      </c>
      <c r="B31" s="14"/>
      <c r="C31" s="14"/>
      <c r="D31" s="14"/>
      <c r="E31" s="15"/>
      <c r="F31" s="59">
        <f>$F$20*1.2</f>
        <v>72.203999999999994</v>
      </c>
      <c r="G31" s="60"/>
      <c r="H31" s="42">
        <f t="shared" si="2"/>
        <v>314</v>
      </c>
      <c r="I31" s="43" t="s">
        <v>31</v>
      </c>
      <c r="J31" s="42">
        <f t="shared" si="3"/>
        <v>60.17</v>
      </c>
      <c r="K31" s="43" t="s">
        <v>36</v>
      </c>
      <c r="L31" s="44">
        <v>1.2</v>
      </c>
      <c r="M31" s="43" t="s">
        <v>36</v>
      </c>
      <c r="N31" s="45">
        <v>9</v>
      </c>
      <c r="O31" s="43" t="s">
        <v>32</v>
      </c>
      <c r="P31" s="26">
        <f>$N$10+(($F$20*1.2)*9)</f>
        <v>963.8359999999999</v>
      </c>
      <c r="Q31" s="6"/>
    </row>
    <row r="32" spans="1:17" ht="24" customHeight="1" x14ac:dyDescent="0.25">
      <c r="A32" s="13" t="s">
        <v>24</v>
      </c>
      <c r="B32" s="14"/>
      <c r="C32" s="14"/>
      <c r="D32" s="14"/>
      <c r="E32" s="15"/>
      <c r="F32" s="59">
        <f>$F$20*1.225</f>
        <v>73.708250000000007</v>
      </c>
      <c r="G32" s="60"/>
      <c r="H32" s="42">
        <f t="shared" si="2"/>
        <v>314</v>
      </c>
      <c r="I32" s="43" t="s">
        <v>31</v>
      </c>
      <c r="J32" s="42">
        <f t="shared" si="3"/>
        <v>60.17</v>
      </c>
      <c r="K32" s="43" t="s">
        <v>36</v>
      </c>
      <c r="L32" s="44">
        <v>1.2250000000000001</v>
      </c>
      <c r="M32" s="43" t="s">
        <v>36</v>
      </c>
      <c r="N32" s="45">
        <v>9</v>
      </c>
      <c r="O32" s="43" t="s">
        <v>32</v>
      </c>
      <c r="P32" s="26">
        <f>$N$10+(($F$20*1.225)*9)</f>
        <v>977.37425000000007</v>
      </c>
      <c r="Q32" s="6"/>
    </row>
    <row r="33" spans="1:17" ht="24" customHeight="1" x14ac:dyDescent="0.25">
      <c r="A33" s="13" t="s">
        <v>25</v>
      </c>
      <c r="B33" s="14"/>
      <c r="C33" s="14"/>
      <c r="D33" s="14"/>
      <c r="E33" s="15"/>
      <c r="F33" s="59">
        <f>$F$20*1.25</f>
        <v>75.212500000000006</v>
      </c>
      <c r="G33" s="60"/>
      <c r="H33" s="42">
        <f t="shared" si="2"/>
        <v>314</v>
      </c>
      <c r="I33" s="43" t="s">
        <v>31</v>
      </c>
      <c r="J33" s="42">
        <f t="shared" si="3"/>
        <v>60.17</v>
      </c>
      <c r="K33" s="43" t="s">
        <v>36</v>
      </c>
      <c r="L33" s="44">
        <v>1.25</v>
      </c>
      <c r="M33" s="43" t="s">
        <v>36</v>
      </c>
      <c r="N33" s="45">
        <v>9</v>
      </c>
      <c r="O33" s="43" t="s">
        <v>32</v>
      </c>
      <c r="P33" s="26">
        <f>$N$10+(($F$20*1.25)*9)</f>
        <v>990.91250000000002</v>
      </c>
      <c r="Q33" s="6"/>
    </row>
    <row r="34" spans="1:17" ht="24" customHeight="1" x14ac:dyDescent="0.25">
      <c r="A34" s="13" t="s">
        <v>26</v>
      </c>
      <c r="B34" s="14"/>
      <c r="C34" s="14"/>
      <c r="D34" s="14"/>
      <c r="E34" s="15"/>
      <c r="F34" s="59">
        <f>$F$20*1.34</f>
        <v>80.627800000000008</v>
      </c>
      <c r="G34" s="60"/>
      <c r="H34" s="42">
        <f t="shared" si="2"/>
        <v>314</v>
      </c>
      <c r="I34" s="43" t="s">
        <v>31</v>
      </c>
      <c r="J34" s="42">
        <f t="shared" si="3"/>
        <v>60.17</v>
      </c>
      <c r="K34" s="43" t="s">
        <v>36</v>
      </c>
      <c r="L34" s="44">
        <v>1.34</v>
      </c>
      <c r="M34" s="43" t="s">
        <v>36</v>
      </c>
      <c r="N34" s="45">
        <v>9</v>
      </c>
      <c r="O34" s="43" t="s">
        <v>32</v>
      </c>
      <c r="P34" s="26">
        <f>$N$10+(($F$20*1.34)*9)</f>
        <v>1039.6502</v>
      </c>
      <c r="Q34" s="6"/>
    </row>
    <row r="35" spans="1:17" ht="24" customHeight="1" thickBot="1" x14ac:dyDescent="0.3">
      <c r="A35" s="21" t="s">
        <v>27</v>
      </c>
      <c r="B35" s="22"/>
      <c r="C35" s="22"/>
      <c r="D35" s="22"/>
      <c r="E35" s="23"/>
      <c r="F35" s="61">
        <f>$F$20*1.4125</f>
        <v>84.990125000000006</v>
      </c>
      <c r="G35" s="62"/>
      <c r="H35" s="55">
        <f t="shared" si="2"/>
        <v>314</v>
      </c>
      <c r="I35" s="56" t="s">
        <v>31</v>
      </c>
      <c r="J35" s="55">
        <f t="shared" si="3"/>
        <v>60.17</v>
      </c>
      <c r="K35" s="56" t="s">
        <v>36</v>
      </c>
      <c r="L35" s="57">
        <v>1.4125000000000001</v>
      </c>
      <c r="M35" s="56" t="s">
        <v>36</v>
      </c>
      <c r="N35" s="58">
        <v>9</v>
      </c>
      <c r="O35" s="56" t="s">
        <v>32</v>
      </c>
      <c r="P35" s="27">
        <f>$N$10+(($F$20*1.4125)*9)</f>
        <v>1078.9111250000001</v>
      </c>
      <c r="Q35" s="6"/>
    </row>
  </sheetData>
  <mergeCells count="47">
    <mergeCell ref="A1:P1"/>
    <mergeCell ref="A3:P3"/>
    <mergeCell ref="M13:M14"/>
    <mergeCell ref="C5:N5"/>
    <mergeCell ref="F13:G14"/>
    <mergeCell ref="O13:O14"/>
    <mergeCell ref="P13:P14"/>
    <mergeCell ref="H12:P12"/>
    <mergeCell ref="J13:J14"/>
    <mergeCell ref="I13:I14"/>
    <mergeCell ref="K13:K14"/>
    <mergeCell ref="L13:L14"/>
    <mergeCell ref="N13:N14"/>
    <mergeCell ref="A12:G12"/>
    <mergeCell ref="A13:E14"/>
    <mergeCell ref="C10:M10"/>
    <mergeCell ref="A22:E23"/>
    <mergeCell ref="F22:G23"/>
    <mergeCell ref="I22:I23"/>
    <mergeCell ref="F15:G15"/>
    <mergeCell ref="F16:G16"/>
    <mergeCell ref="F17:G17"/>
    <mergeCell ref="F18:G18"/>
    <mergeCell ref="F19:G19"/>
    <mergeCell ref="F20:G20"/>
    <mergeCell ref="P22:P23"/>
    <mergeCell ref="F24:G24"/>
    <mergeCell ref="F26:G26"/>
    <mergeCell ref="F29:G29"/>
    <mergeCell ref="F30:G30"/>
    <mergeCell ref="J22:J23"/>
    <mergeCell ref="K22:K23"/>
    <mergeCell ref="L22:L23"/>
    <mergeCell ref="M22:M23"/>
    <mergeCell ref="N22:N23"/>
    <mergeCell ref="O22:O23"/>
    <mergeCell ref="F25:G25"/>
    <mergeCell ref="F27:G27"/>
    <mergeCell ref="F28:G28"/>
    <mergeCell ref="F32:G32"/>
    <mergeCell ref="F33:G33"/>
    <mergeCell ref="F34:G34"/>
    <mergeCell ref="F35:G35"/>
    <mergeCell ref="H13:H14"/>
    <mergeCell ref="H22:H23"/>
    <mergeCell ref="F31:G31"/>
    <mergeCell ref="F21:G21"/>
  </mergeCells>
  <printOptions horizontalCentered="1" verticalCentered="1"/>
  <pageMargins left="0.25" right="0.25" top="0.25" bottom="0.25" header="0.3" footer="0.3"/>
  <pageSetup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4186-6B42-46BC-8965-B7186F7E6EA8}">
  <sheetPr>
    <pageSetUpPr fitToPage="1"/>
  </sheetPr>
  <dimension ref="A1:Q35"/>
  <sheetViews>
    <sheetView zoomScaleNormal="100" workbookViewId="0">
      <selection activeCell="H8" sqref="H8"/>
    </sheetView>
  </sheetViews>
  <sheetFormatPr defaultRowHeight="15" x14ac:dyDescent="0.25"/>
  <cols>
    <col min="1" max="1" width="5.7109375" style="1" customWidth="1"/>
    <col min="2" max="2" width="17.7109375" style="1" customWidth="1"/>
    <col min="3" max="3" width="5.7109375" style="1" customWidth="1"/>
    <col min="4" max="4" width="17.7109375" style="1" customWidth="1"/>
    <col min="5" max="5" width="5.7109375" style="1" customWidth="1"/>
    <col min="6" max="6" width="17.7109375" style="2" customWidth="1"/>
    <col min="7" max="7" width="5.7109375" style="1" customWidth="1"/>
    <col min="8" max="8" width="17.7109375" style="2" customWidth="1"/>
    <col min="9" max="9" width="5.7109375" style="2" customWidth="1"/>
    <col min="10" max="10" width="17.7109375" style="2" customWidth="1"/>
    <col min="11" max="11" width="5.7109375" style="2" customWidth="1"/>
    <col min="12" max="12" width="17.7109375" style="2" customWidth="1"/>
    <col min="13" max="13" width="5.7109375" style="2" customWidth="1"/>
    <col min="14" max="14" width="17.7109375" style="2" customWidth="1"/>
    <col min="15" max="15" width="5.7109375" style="2" customWidth="1"/>
    <col min="16" max="16" width="17.7109375" style="2" customWidth="1"/>
    <col min="17" max="18" width="9.85546875" style="1" bestFit="1" customWidth="1"/>
    <col min="19" max="16384" width="9.140625" style="1"/>
  </cols>
  <sheetData>
    <row r="1" spans="1:17" s="7" customFormat="1" ht="45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7" ht="20.2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s="8" customFormat="1" ht="30" x14ac:dyDescent="0.25">
      <c r="A3" s="87" t="s">
        <v>46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7" ht="27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s="3" customFormat="1" ht="24" customHeight="1" thickBot="1" x14ac:dyDescent="0.3">
      <c r="C5" s="88" t="s">
        <v>10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90"/>
    </row>
    <row r="6" spans="1:17" ht="24" customHeight="1" x14ac:dyDescent="0.25">
      <c r="C6" s="30" t="s">
        <v>2</v>
      </c>
      <c r="D6" s="31"/>
      <c r="E6" s="31"/>
      <c r="F6" s="31"/>
      <c r="G6" s="31"/>
      <c r="H6" s="25">
        <v>32.5</v>
      </c>
      <c r="I6" s="30" t="s">
        <v>6</v>
      </c>
      <c r="J6" s="31"/>
      <c r="K6" s="31"/>
      <c r="L6" s="31"/>
      <c r="M6" s="31"/>
      <c r="N6" s="25">
        <v>20</v>
      </c>
      <c r="O6" s="1"/>
      <c r="P6" s="1"/>
    </row>
    <row r="7" spans="1:17" ht="24" customHeight="1" x14ac:dyDescent="0.25">
      <c r="C7" s="32" t="s">
        <v>3</v>
      </c>
      <c r="D7" s="33"/>
      <c r="E7" s="33"/>
      <c r="F7" s="33"/>
      <c r="G7" s="33"/>
      <c r="H7" s="26">
        <v>2</v>
      </c>
      <c r="I7" s="32" t="s">
        <v>7</v>
      </c>
      <c r="J7" s="33"/>
      <c r="K7" s="33"/>
      <c r="L7" s="33"/>
      <c r="M7" s="33"/>
      <c r="N7" s="26">
        <v>4.5</v>
      </c>
      <c r="O7" s="1"/>
      <c r="P7" s="1"/>
    </row>
    <row r="8" spans="1:17" ht="24" customHeight="1" x14ac:dyDescent="0.25">
      <c r="C8" s="32" t="s">
        <v>4</v>
      </c>
      <c r="D8" s="33"/>
      <c r="E8" s="33"/>
      <c r="F8" s="33"/>
      <c r="G8" s="33"/>
      <c r="H8" s="26">
        <v>15</v>
      </c>
      <c r="I8" s="34" t="s">
        <v>45</v>
      </c>
      <c r="J8" s="35"/>
      <c r="K8" s="35"/>
      <c r="L8" s="35"/>
      <c r="M8" s="35"/>
      <c r="N8" s="28">
        <v>5</v>
      </c>
      <c r="O8" s="1"/>
      <c r="P8" s="1"/>
    </row>
    <row r="9" spans="1:17" ht="24" customHeight="1" thickBot="1" x14ac:dyDescent="0.3">
      <c r="C9" s="36" t="s">
        <v>5</v>
      </c>
      <c r="D9" s="37"/>
      <c r="E9" s="37"/>
      <c r="F9" s="37"/>
      <c r="G9" s="37"/>
      <c r="H9" s="27">
        <v>228</v>
      </c>
      <c r="I9" s="34" t="s">
        <v>44</v>
      </c>
      <c r="J9" s="35"/>
      <c r="K9" s="35"/>
      <c r="L9" s="35"/>
      <c r="M9" s="35"/>
      <c r="N9" s="28">
        <v>6</v>
      </c>
      <c r="O9" s="1"/>
      <c r="P9" s="1"/>
    </row>
    <row r="10" spans="1:17" s="3" customFormat="1" ht="27" customHeight="1" thickBot="1" x14ac:dyDescent="0.3">
      <c r="C10" s="91" t="s">
        <v>9</v>
      </c>
      <c r="D10" s="92"/>
      <c r="E10" s="92"/>
      <c r="F10" s="92"/>
      <c r="G10" s="92"/>
      <c r="H10" s="92"/>
      <c r="I10" s="92"/>
      <c r="J10" s="92"/>
      <c r="K10" s="92"/>
      <c r="L10" s="92"/>
      <c r="M10" s="93"/>
      <c r="N10" s="29">
        <f>H6+H7+H8+H9+N6+N7+N8+N9</f>
        <v>313</v>
      </c>
      <c r="O10" s="4"/>
      <c r="P10" s="5"/>
    </row>
    <row r="11" spans="1:17" s="3" customFormat="1" ht="27" customHeight="1" thickBot="1" x14ac:dyDescent="0.3">
      <c r="F11" s="4"/>
      <c r="H11" s="4"/>
      <c r="I11" s="4"/>
      <c r="J11" s="4"/>
      <c r="K11" s="4"/>
      <c r="L11" s="4"/>
      <c r="M11" s="4"/>
      <c r="N11" s="4"/>
      <c r="O11" s="4"/>
      <c r="P11" s="5"/>
    </row>
    <row r="12" spans="1:17" ht="24" customHeight="1" thickBot="1" x14ac:dyDescent="0.3">
      <c r="A12" s="94" t="s">
        <v>38</v>
      </c>
      <c r="B12" s="95"/>
      <c r="C12" s="95"/>
      <c r="D12" s="95"/>
      <c r="E12" s="95"/>
      <c r="F12" s="95"/>
      <c r="G12" s="96"/>
      <c r="H12" s="97" t="s">
        <v>33</v>
      </c>
      <c r="I12" s="98"/>
      <c r="J12" s="98"/>
      <c r="K12" s="98"/>
      <c r="L12" s="98"/>
      <c r="M12" s="98"/>
      <c r="N12" s="98"/>
      <c r="O12" s="98"/>
      <c r="P12" s="99"/>
    </row>
    <row r="13" spans="1:17" s="3" customFormat="1" ht="24" customHeight="1" x14ac:dyDescent="0.25">
      <c r="A13" s="85" t="s">
        <v>34</v>
      </c>
      <c r="B13" s="71"/>
      <c r="C13" s="71"/>
      <c r="D13" s="71"/>
      <c r="E13" s="72"/>
      <c r="F13" s="76" t="s">
        <v>11</v>
      </c>
      <c r="G13" s="77"/>
      <c r="H13" s="67" t="s">
        <v>37</v>
      </c>
      <c r="I13" s="65" t="s">
        <v>31</v>
      </c>
      <c r="J13" s="67" t="s">
        <v>30</v>
      </c>
      <c r="K13" s="65" t="s">
        <v>36</v>
      </c>
      <c r="L13" s="63" t="s">
        <v>29</v>
      </c>
      <c r="M13" s="65" t="s">
        <v>36</v>
      </c>
      <c r="N13" s="63" t="s">
        <v>28</v>
      </c>
      <c r="O13" s="65" t="s">
        <v>32</v>
      </c>
      <c r="P13" s="67" t="s">
        <v>12</v>
      </c>
    </row>
    <row r="14" spans="1:17" s="3" customFormat="1" ht="24" customHeight="1" thickBot="1" x14ac:dyDescent="0.3">
      <c r="A14" s="73"/>
      <c r="B14" s="74"/>
      <c r="C14" s="74"/>
      <c r="D14" s="74"/>
      <c r="E14" s="75"/>
      <c r="F14" s="78"/>
      <c r="G14" s="79"/>
      <c r="H14" s="80"/>
      <c r="I14" s="66"/>
      <c r="J14" s="64"/>
      <c r="K14" s="66"/>
      <c r="L14" s="64"/>
      <c r="M14" s="66"/>
      <c r="N14" s="64"/>
      <c r="O14" s="66"/>
      <c r="P14" s="64"/>
    </row>
    <row r="15" spans="1:17" ht="24" customHeight="1" x14ac:dyDescent="0.25">
      <c r="A15" s="9" t="s">
        <v>35</v>
      </c>
      <c r="B15" s="10"/>
      <c r="C15" s="11"/>
      <c r="D15" s="11"/>
      <c r="E15" s="12"/>
      <c r="F15" s="83">
        <v>30.09</v>
      </c>
      <c r="G15" s="84"/>
      <c r="H15" s="38">
        <f t="shared" ref="H15:H21" si="0">$N$10</f>
        <v>313</v>
      </c>
      <c r="I15" s="39" t="s">
        <v>31</v>
      </c>
      <c r="J15" s="38">
        <f>$F$20</f>
        <v>60.17</v>
      </c>
      <c r="K15" s="39" t="s">
        <v>36</v>
      </c>
      <c r="L15" s="40">
        <v>0.5</v>
      </c>
      <c r="M15" s="39" t="s">
        <v>36</v>
      </c>
      <c r="N15" s="41">
        <v>9</v>
      </c>
      <c r="O15" s="39" t="s">
        <v>32</v>
      </c>
      <c r="P15" s="25" t="s">
        <v>40</v>
      </c>
    </row>
    <row r="16" spans="1:17" ht="24" customHeight="1" x14ac:dyDescent="0.25">
      <c r="A16" s="13" t="s">
        <v>13</v>
      </c>
      <c r="B16" s="13"/>
      <c r="C16" s="14"/>
      <c r="D16" s="14"/>
      <c r="E16" s="15"/>
      <c r="F16" s="81">
        <v>33.090000000000003</v>
      </c>
      <c r="G16" s="82"/>
      <c r="H16" s="42">
        <f t="shared" si="0"/>
        <v>313</v>
      </c>
      <c r="I16" s="43" t="s">
        <v>31</v>
      </c>
      <c r="J16" s="42">
        <f t="shared" ref="J16:J21" si="1">$F$20</f>
        <v>60.17</v>
      </c>
      <c r="K16" s="43" t="s">
        <v>36</v>
      </c>
      <c r="L16" s="44">
        <v>0.55000000000000004</v>
      </c>
      <c r="M16" s="43" t="s">
        <v>36</v>
      </c>
      <c r="N16" s="45">
        <v>9</v>
      </c>
      <c r="O16" s="43" t="s">
        <v>32</v>
      </c>
      <c r="P16" s="26">
        <f>$N$10+(($F$20*0.55)*9)</f>
        <v>610.8415</v>
      </c>
      <c r="Q16" s="6"/>
    </row>
    <row r="17" spans="1:17" ht="24" customHeight="1" x14ac:dyDescent="0.25">
      <c r="A17" s="13" t="s">
        <v>14</v>
      </c>
      <c r="B17" s="13"/>
      <c r="C17" s="14"/>
      <c r="D17" s="14"/>
      <c r="E17" s="15"/>
      <c r="F17" s="81">
        <v>39.11</v>
      </c>
      <c r="G17" s="82"/>
      <c r="H17" s="42">
        <f t="shared" si="0"/>
        <v>313</v>
      </c>
      <c r="I17" s="43" t="s">
        <v>31</v>
      </c>
      <c r="J17" s="42">
        <f t="shared" si="1"/>
        <v>60.17</v>
      </c>
      <c r="K17" s="43" t="s">
        <v>36</v>
      </c>
      <c r="L17" s="44">
        <v>0.65</v>
      </c>
      <c r="M17" s="43" t="s">
        <v>36</v>
      </c>
      <c r="N17" s="45">
        <v>9</v>
      </c>
      <c r="O17" s="43" t="s">
        <v>32</v>
      </c>
      <c r="P17" s="26">
        <f>$N$10+(($F$20*0.65)*9)</f>
        <v>664.99450000000002</v>
      </c>
      <c r="Q17" s="6"/>
    </row>
    <row r="18" spans="1:17" ht="24" customHeight="1" x14ac:dyDescent="0.25">
      <c r="A18" s="13" t="s">
        <v>15</v>
      </c>
      <c r="B18" s="13"/>
      <c r="C18" s="14"/>
      <c r="D18" s="14"/>
      <c r="E18" s="15"/>
      <c r="F18" s="81">
        <v>42.12</v>
      </c>
      <c r="G18" s="82"/>
      <c r="H18" s="42">
        <f t="shared" si="0"/>
        <v>313</v>
      </c>
      <c r="I18" s="43" t="s">
        <v>31</v>
      </c>
      <c r="J18" s="42">
        <f t="shared" si="1"/>
        <v>60.17</v>
      </c>
      <c r="K18" s="43" t="s">
        <v>36</v>
      </c>
      <c r="L18" s="44">
        <v>0.7</v>
      </c>
      <c r="M18" s="43" t="s">
        <v>36</v>
      </c>
      <c r="N18" s="45">
        <v>9</v>
      </c>
      <c r="O18" s="43" t="s">
        <v>32</v>
      </c>
      <c r="P18" s="26">
        <f>$N$10+(($F$20*0.7)*9)</f>
        <v>692.07100000000003</v>
      </c>
      <c r="Q18" s="6"/>
    </row>
    <row r="19" spans="1:17" ht="24" customHeight="1" x14ac:dyDescent="0.25">
      <c r="A19" s="13" t="s">
        <v>16</v>
      </c>
      <c r="B19" s="13"/>
      <c r="C19" s="14"/>
      <c r="D19" s="24"/>
      <c r="E19" s="15"/>
      <c r="F19" s="81">
        <v>48.14</v>
      </c>
      <c r="G19" s="82"/>
      <c r="H19" s="42">
        <f t="shared" si="0"/>
        <v>313</v>
      </c>
      <c r="I19" s="43" t="s">
        <v>31</v>
      </c>
      <c r="J19" s="42">
        <f t="shared" si="1"/>
        <v>60.17</v>
      </c>
      <c r="K19" s="43" t="s">
        <v>36</v>
      </c>
      <c r="L19" s="44">
        <v>0.8</v>
      </c>
      <c r="M19" s="43" t="s">
        <v>36</v>
      </c>
      <c r="N19" s="45">
        <v>9</v>
      </c>
      <c r="O19" s="43" t="s">
        <v>32</v>
      </c>
      <c r="P19" s="26">
        <f>$N$10+(($F$20*0.8)*9)</f>
        <v>746.22400000000005</v>
      </c>
      <c r="Q19" s="6"/>
    </row>
    <row r="20" spans="1:17" ht="24" customHeight="1" x14ac:dyDescent="0.25">
      <c r="A20" s="13" t="s">
        <v>17</v>
      </c>
      <c r="B20" s="13"/>
      <c r="C20" s="14"/>
      <c r="D20" s="14"/>
      <c r="E20" s="15"/>
      <c r="F20" s="81">
        <v>60.17</v>
      </c>
      <c r="G20" s="82"/>
      <c r="H20" s="42">
        <f t="shared" si="0"/>
        <v>313</v>
      </c>
      <c r="I20" s="43" t="s">
        <v>31</v>
      </c>
      <c r="J20" s="42">
        <f t="shared" si="1"/>
        <v>60.17</v>
      </c>
      <c r="K20" s="43" t="s">
        <v>36</v>
      </c>
      <c r="L20" s="44">
        <v>1</v>
      </c>
      <c r="M20" s="43" t="s">
        <v>36</v>
      </c>
      <c r="N20" s="45">
        <v>9</v>
      </c>
      <c r="O20" s="43" t="s">
        <v>32</v>
      </c>
      <c r="P20" s="26">
        <f>$N$10+(($F$20*1)*9)</f>
        <v>854.53</v>
      </c>
      <c r="Q20" s="6"/>
    </row>
    <row r="21" spans="1:17" ht="24" customHeight="1" thickBot="1" x14ac:dyDescent="0.3">
      <c r="A21" s="16" t="s">
        <v>18</v>
      </c>
      <c r="B21" s="16"/>
      <c r="C21" s="17"/>
      <c r="D21" s="17"/>
      <c r="E21" s="18"/>
      <c r="F21" s="59">
        <v>67.69</v>
      </c>
      <c r="G21" s="60"/>
      <c r="H21" s="46">
        <f t="shared" si="0"/>
        <v>313</v>
      </c>
      <c r="I21" s="47" t="s">
        <v>31</v>
      </c>
      <c r="J21" s="46">
        <f t="shared" si="1"/>
        <v>60.17</v>
      </c>
      <c r="K21" s="47" t="s">
        <v>36</v>
      </c>
      <c r="L21" s="48">
        <v>1.125</v>
      </c>
      <c r="M21" s="47" t="s">
        <v>36</v>
      </c>
      <c r="N21" s="49">
        <v>9</v>
      </c>
      <c r="O21" s="47" t="s">
        <v>32</v>
      </c>
      <c r="P21" s="28">
        <f>$N$10+(($F$20*1.125)*9)</f>
        <v>922.22124999999994</v>
      </c>
      <c r="Q21" s="6"/>
    </row>
    <row r="22" spans="1:17" s="3" customFormat="1" ht="24" customHeight="1" x14ac:dyDescent="0.25">
      <c r="A22" s="70" t="s">
        <v>39</v>
      </c>
      <c r="B22" s="71"/>
      <c r="C22" s="71"/>
      <c r="D22" s="71"/>
      <c r="E22" s="72"/>
      <c r="F22" s="76" t="s">
        <v>11</v>
      </c>
      <c r="G22" s="77"/>
      <c r="H22" s="67" t="s">
        <v>37</v>
      </c>
      <c r="I22" s="65" t="s">
        <v>31</v>
      </c>
      <c r="J22" s="67" t="s">
        <v>30</v>
      </c>
      <c r="K22" s="65" t="s">
        <v>36</v>
      </c>
      <c r="L22" s="63" t="s">
        <v>29</v>
      </c>
      <c r="M22" s="65" t="s">
        <v>36</v>
      </c>
      <c r="N22" s="63" t="s">
        <v>28</v>
      </c>
      <c r="O22" s="65" t="s">
        <v>32</v>
      </c>
      <c r="P22" s="67" t="s">
        <v>12</v>
      </c>
    </row>
    <row r="23" spans="1:17" s="3" customFormat="1" ht="24" customHeight="1" thickBot="1" x14ac:dyDescent="0.3">
      <c r="A23" s="73"/>
      <c r="B23" s="74"/>
      <c r="C23" s="74"/>
      <c r="D23" s="74"/>
      <c r="E23" s="75"/>
      <c r="F23" s="78"/>
      <c r="G23" s="79"/>
      <c r="H23" s="80"/>
      <c r="I23" s="66"/>
      <c r="J23" s="64"/>
      <c r="K23" s="66"/>
      <c r="L23" s="64"/>
      <c r="M23" s="66"/>
      <c r="N23" s="64"/>
      <c r="O23" s="66"/>
      <c r="P23" s="64"/>
    </row>
    <row r="24" spans="1:17" ht="24" customHeight="1" x14ac:dyDescent="0.25">
      <c r="A24" s="9" t="s">
        <v>19</v>
      </c>
      <c r="B24" s="19"/>
      <c r="C24" s="19"/>
      <c r="D24" s="19"/>
      <c r="E24" s="20"/>
      <c r="F24" s="100">
        <f>$F$20*1.03</f>
        <v>61.975100000000005</v>
      </c>
      <c r="G24" s="101"/>
      <c r="H24" s="50">
        <f t="shared" ref="H24:H35" si="2">$N$10</f>
        <v>313</v>
      </c>
      <c r="I24" s="51" t="s">
        <v>31</v>
      </c>
      <c r="J24" s="50">
        <f>$F$20</f>
        <v>60.17</v>
      </c>
      <c r="K24" s="51" t="s">
        <v>36</v>
      </c>
      <c r="L24" s="52">
        <v>1.03</v>
      </c>
      <c r="M24" s="51" t="s">
        <v>36</v>
      </c>
      <c r="N24" s="53">
        <v>9</v>
      </c>
      <c r="O24" s="51" t="s">
        <v>32</v>
      </c>
      <c r="P24" s="54">
        <f>$N$10+(($F$20*1.03)*9)</f>
        <v>870.77590000000009</v>
      </c>
      <c r="Q24" s="6"/>
    </row>
    <row r="25" spans="1:17" ht="24" customHeight="1" x14ac:dyDescent="0.25">
      <c r="A25" s="13" t="s">
        <v>41</v>
      </c>
      <c r="B25" s="14"/>
      <c r="C25" s="14"/>
      <c r="D25" s="14"/>
      <c r="E25" s="15"/>
      <c r="F25" s="59">
        <f>$F$20*1.04</f>
        <v>62.576800000000006</v>
      </c>
      <c r="G25" s="60"/>
      <c r="H25" s="42">
        <f t="shared" si="2"/>
        <v>313</v>
      </c>
      <c r="I25" s="43" t="s">
        <v>31</v>
      </c>
      <c r="J25" s="42">
        <f t="shared" ref="J25:J35" si="3">$F$20</f>
        <v>60.17</v>
      </c>
      <c r="K25" s="43" t="s">
        <v>36</v>
      </c>
      <c r="L25" s="44">
        <v>1.04</v>
      </c>
      <c r="M25" s="43" t="s">
        <v>36</v>
      </c>
      <c r="N25" s="45">
        <v>9</v>
      </c>
      <c r="O25" s="43" t="s">
        <v>32</v>
      </c>
      <c r="P25" s="26">
        <f>$N$10+(($F$20*1.04)*9)</f>
        <v>876.19120000000009</v>
      </c>
      <c r="Q25" s="6"/>
    </row>
    <row r="26" spans="1:17" ht="24" customHeight="1" x14ac:dyDescent="0.25">
      <c r="A26" s="13" t="s">
        <v>20</v>
      </c>
      <c r="B26" s="14"/>
      <c r="C26" s="14"/>
      <c r="D26" s="14"/>
      <c r="E26" s="15"/>
      <c r="F26" s="59">
        <f>$F$20*1.06</f>
        <v>63.780200000000008</v>
      </c>
      <c r="G26" s="60"/>
      <c r="H26" s="42">
        <f t="shared" si="2"/>
        <v>313</v>
      </c>
      <c r="I26" s="43" t="s">
        <v>31</v>
      </c>
      <c r="J26" s="42">
        <f t="shared" si="3"/>
        <v>60.17</v>
      </c>
      <c r="K26" s="43" t="s">
        <v>36</v>
      </c>
      <c r="L26" s="44">
        <v>1.06</v>
      </c>
      <c r="M26" s="43" t="s">
        <v>36</v>
      </c>
      <c r="N26" s="45">
        <v>9</v>
      </c>
      <c r="O26" s="43" t="s">
        <v>32</v>
      </c>
      <c r="P26" s="26">
        <f>$N$10+(($F$20*1.06)*9)</f>
        <v>887.0218000000001</v>
      </c>
      <c r="Q26" s="6"/>
    </row>
    <row r="27" spans="1:17" ht="24" customHeight="1" x14ac:dyDescent="0.25">
      <c r="A27" s="13" t="s">
        <v>42</v>
      </c>
      <c r="B27" s="14"/>
      <c r="C27" s="14"/>
      <c r="D27" s="14"/>
      <c r="E27" s="15"/>
      <c r="F27" s="59">
        <f>$F$20*1.08</f>
        <v>64.98360000000001</v>
      </c>
      <c r="G27" s="60"/>
      <c r="H27" s="42">
        <f t="shared" si="2"/>
        <v>313</v>
      </c>
      <c r="I27" s="43" t="s">
        <v>31</v>
      </c>
      <c r="J27" s="42">
        <f t="shared" si="3"/>
        <v>60.17</v>
      </c>
      <c r="K27" s="43" t="s">
        <v>36</v>
      </c>
      <c r="L27" s="44">
        <v>1.08</v>
      </c>
      <c r="M27" s="43" t="s">
        <v>36</v>
      </c>
      <c r="N27" s="45">
        <v>9</v>
      </c>
      <c r="O27" s="43" t="s">
        <v>32</v>
      </c>
      <c r="P27" s="26">
        <f>$N$10+(($F$20*1.08)*9)</f>
        <v>897.8524000000001</v>
      </c>
      <c r="Q27" s="6"/>
    </row>
    <row r="28" spans="1:17" ht="24" customHeight="1" x14ac:dyDescent="0.25">
      <c r="A28" s="13" t="s">
        <v>43</v>
      </c>
      <c r="B28" s="14"/>
      <c r="C28" s="14"/>
      <c r="D28" s="14"/>
      <c r="E28" s="15"/>
      <c r="F28" s="59">
        <f>$F$20*1.09</f>
        <v>65.585300000000004</v>
      </c>
      <c r="G28" s="60"/>
      <c r="H28" s="42">
        <f t="shared" si="2"/>
        <v>313</v>
      </c>
      <c r="I28" s="43" t="s">
        <v>31</v>
      </c>
      <c r="J28" s="42">
        <f t="shared" si="3"/>
        <v>60.17</v>
      </c>
      <c r="K28" s="43" t="s">
        <v>36</v>
      </c>
      <c r="L28" s="44">
        <v>1.0900000000000001</v>
      </c>
      <c r="M28" s="43" t="s">
        <v>36</v>
      </c>
      <c r="N28" s="45">
        <v>9</v>
      </c>
      <c r="O28" s="43" t="s">
        <v>32</v>
      </c>
      <c r="P28" s="26">
        <f>$N$10+(($F$20*1.09)*9)</f>
        <v>903.26769999999999</v>
      </c>
      <c r="Q28" s="6"/>
    </row>
    <row r="29" spans="1:17" ht="24" customHeight="1" x14ac:dyDescent="0.25">
      <c r="A29" s="13" t="s">
        <v>21</v>
      </c>
      <c r="B29" s="14"/>
      <c r="C29" s="14"/>
      <c r="D29" s="14"/>
      <c r="E29" s="15"/>
      <c r="F29" s="59">
        <f>$F$20*1.1</f>
        <v>66.187000000000012</v>
      </c>
      <c r="G29" s="60"/>
      <c r="H29" s="42">
        <f t="shared" si="2"/>
        <v>313</v>
      </c>
      <c r="I29" s="43" t="s">
        <v>31</v>
      </c>
      <c r="J29" s="42">
        <f t="shared" si="3"/>
        <v>60.17</v>
      </c>
      <c r="K29" s="43" t="s">
        <v>36</v>
      </c>
      <c r="L29" s="44">
        <v>1.1000000000000001</v>
      </c>
      <c r="M29" s="43" t="s">
        <v>36</v>
      </c>
      <c r="N29" s="45">
        <v>9</v>
      </c>
      <c r="O29" s="43" t="s">
        <v>32</v>
      </c>
      <c r="P29" s="26">
        <f>$N$10+(($F$20*1.1)*9)</f>
        <v>908.68300000000011</v>
      </c>
      <c r="Q29" s="6"/>
    </row>
    <row r="30" spans="1:17" ht="24" customHeight="1" x14ac:dyDescent="0.25">
      <c r="A30" s="13" t="s">
        <v>22</v>
      </c>
      <c r="B30" s="14"/>
      <c r="C30" s="14"/>
      <c r="D30" s="14"/>
      <c r="E30" s="15"/>
      <c r="F30" s="59">
        <f>$F$20*1.175</f>
        <v>70.699750000000009</v>
      </c>
      <c r="G30" s="60"/>
      <c r="H30" s="42">
        <f t="shared" si="2"/>
        <v>313</v>
      </c>
      <c r="I30" s="43" t="s">
        <v>31</v>
      </c>
      <c r="J30" s="42">
        <f t="shared" si="3"/>
        <v>60.17</v>
      </c>
      <c r="K30" s="43" t="s">
        <v>36</v>
      </c>
      <c r="L30" s="44">
        <v>1.175</v>
      </c>
      <c r="M30" s="43" t="s">
        <v>36</v>
      </c>
      <c r="N30" s="45">
        <v>9</v>
      </c>
      <c r="O30" s="43" t="s">
        <v>32</v>
      </c>
      <c r="P30" s="26">
        <f>$N$10+(($F$20*1.175)*9)</f>
        <v>949.29775000000006</v>
      </c>
      <c r="Q30" s="6"/>
    </row>
    <row r="31" spans="1:17" ht="24" customHeight="1" x14ac:dyDescent="0.25">
      <c r="A31" s="13" t="s">
        <v>23</v>
      </c>
      <c r="B31" s="14"/>
      <c r="C31" s="14"/>
      <c r="D31" s="14"/>
      <c r="E31" s="15"/>
      <c r="F31" s="59">
        <f>$F$20*1.2</f>
        <v>72.203999999999994</v>
      </c>
      <c r="G31" s="60"/>
      <c r="H31" s="42">
        <f t="shared" si="2"/>
        <v>313</v>
      </c>
      <c r="I31" s="43" t="s">
        <v>31</v>
      </c>
      <c r="J31" s="42">
        <f t="shared" si="3"/>
        <v>60.17</v>
      </c>
      <c r="K31" s="43" t="s">
        <v>36</v>
      </c>
      <c r="L31" s="44">
        <v>1.2</v>
      </c>
      <c r="M31" s="43" t="s">
        <v>36</v>
      </c>
      <c r="N31" s="45">
        <v>9</v>
      </c>
      <c r="O31" s="43" t="s">
        <v>32</v>
      </c>
      <c r="P31" s="26">
        <f>$N$10+(($F$20*1.2)*9)</f>
        <v>962.8359999999999</v>
      </c>
      <c r="Q31" s="6"/>
    </row>
    <row r="32" spans="1:17" ht="24" customHeight="1" x14ac:dyDescent="0.25">
      <c r="A32" s="13" t="s">
        <v>24</v>
      </c>
      <c r="B32" s="14"/>
      <c r="C32" s="14"/>
      <c r="D32" s="14"/>
      <c r="E32" s="15"/>
      <c r="F32" s="59">
        <f>$F$20*1.225</f>
        <v>73.708250000000007</v>
      </c>
      <c r="G32" s="60"/>
      <c r="H32" s="42">
        <f t="shared" si="2"/>
        <v>313</v>
      </c>
      <c r="I32" s="43" t="s">
        <v>31</v>
      </c>
      <c r="J32" s="42">
        <f t="shared" si="3"/>
        <v>60.17</v>
      </c>
      <c r="K32" s="43" t="s">
        <v>36</v>
      </c>
      <c r="L32" s="44">
        <v>1.2250000000000001</v>
      </c>
      <c r="M32" s="43" t="s">
        <v>36</v>
      </c>
      <c r="N32" s="45">
        <v>9</v>
      </c>
      <c r="O32" s="43" t="s">
        <v>32</v>
      </c>
      <c r="P32" s="26">
        <f>$N$10+(($F$20*1.225)*9)</f>
        <v>976.37425000000007</v>
      </c>
      <c r="Q32" s="6"/>
    </row>
    <row r="33" spans="1:17" ht="24" customHeight="1" x14ac:dyDescent="0.25">
      <c r="A33" s="13" t="s">
        <v>25</v>
      </c>
      <c r="B33" s="14"/>
      <c r="C33" s="14"/>
      <c r="D33" s="14"/>
      <c r="E33" s="15"/>
      <c r="F33" s="59">
        <f>$F$20*1.25</f>
        <v>75.212500000000006</v>
      </c>
      <c r="G33" s="60"/>
      <c r="H33" s="42">
        <f t="shared" si="2"/>
        <v>313</v>
      </c>
      <c r="I33" s="43" t="s">
        <v>31</v>
      </c>
      <c r="J33" s="42">
        <f t="shared" si="3"/>
        <v>60.17</v>
      </c>
      <c r="K33" s="43" t="s">
        <v>36</v>
      </c>
      <c r="L33" s="44">
        <v>1.25</v>
      </c>
      <c r="M33" s="43" t="s">
        <v>36</v>
      </c>
      <c r="N33" s="45">
        <v>9</v>
      </c>
      <c r="O33" s="43" t="s">
        <v>32</v>
      </c>
      <c r="P33" s="26">
        <f>$N$10+(($F$20*1.25)*9)</f>
        <v>989.91250000000002</v>
      </c>
      <c r="Q33" s="6"/>
    </row>
    <row r="34" spans="1:17" ht="24" customHeight="1" x14ac:dyDescent="0.25">
      <c r="A34" s="13" t="s">
        <v>26</v>
      </c>
      <c r="B34" s="14"/>
      <c r="C34" s="14"/>
      <c r="D34" s="14"/>
      <c r="E34" s="15"/>
      <c r="F34" s="59">
        <f>$F$20*1.34</f>
        <v>80.627800000000008</v>
      </c>
      <c r="G34" s="60"/>
      <c r="H34" s="42">
        <f t="shared" si="2"/>
        <v>313</v>
      </c>
      <c r="I34" s="43" t="s">
        <v>31</v>
      </c>
      <c r="J34" s="42">
        <f t="shared" si="3"/>
        <v>60.17</v>
      </c>
      <c r="K34" s="43" t="s">
        <v>36</v>
      </c>
      <c r="L34" s="44">
        <v>1.34</v>
      </c>
      <c r="M34" s="43" t="s">
        <v>36</v>
      </c>
      <c r="N34" s="45">
        <v>9</v>
      </c>
      <c r="O34" s="43" t="s">
        <v>32</v>
      </c>
      <c r="P34" s="26">
        <f>$N$10+(($F$20*1.34)*9)</f>
        <v>1038.6502</v>
      </c>
      <c r="Q34" s="6"/>
    </row>
    <row r="35" spans="1:17" ht="24" customHeight="1" thickBot="1" x14ac:dyDescent="0.3">
      <c r="A35" s="21" t="s">
        <v>27</v>
      </c>
      <c r="B35" s="22"/>
      <c r="C35" s="22"/>
      <c r="D35" s="22"/>
      <c r="E35" s="23"/>
      <c r="F35" s="61">
        <f>$F$20*1.4125</f>
        <v>84.990125000000006</v>
      </c>
      <c r="G35" s="62"/>
      <c r="H35" s="55">
        <f t="shared" si="2"/>
        <v>313</v>
      </c>
      <c r="I35" s="56" t="s">
        <v>31</v>
      </c>
      <c r="J35" s="55">
        <f t="shared" si="3"/>
        <v>60.17</v>
      </c>
      <c r="K35" s="56" t="s">
        <v>36</v>
      </c>
      <c r="L35" s="57">
        <v>1.4125000000000001</v>
      </c>
      <c r="M35" s="56" t="s">
        <v>36</v>
      </c>
      <c r="N35" s="58">
        <v>9</v>
      </c>
      <c r="O35" s="56" t="s">
        <v>32</v>
      </c>
      <c r="P35" s="27">
        <f>$N$10+(($F$20*1.4125)*9)</f>
        <v>1077.9111250000001</v>
      </c>
      <c r="Q35" s="6"/>
    </row>
  </sheetData>
  <mergeCells count="47">
    <mergeCell ref="F31:G31"/>
    <mergeCell ref="F32:G32"/>
    <mergeCell ref="F33:G33"/>
    <mergeCell ref="F34:G34"/>
    <mergeCell ref="F35:G35"/>
    <mergeCell ref="F30:G30"/>
    <mergeCell ref="L22:L23"/>
    <mergeCell ref="M22:M23"/>
    <mergeCell ref="N22:N23"/>
    <mergeCell ref="O22:O23"/>
    <mergeCell ref="F25:G25"/>
    <mergeCell ref="F26:G26"/>
    <mergeCell ref="F27:G27"/>
    <mergeCell ref="F28:G28"/>
    <mergeCell ref="F29:G29"/>
    <mergeCell ref="P22:P23"/>
    <mergeCell ref="F24:G24"/>
    <mergeCell ref="A22:E23"/>
    <mergeCell ref="F22:G23"/>
    <mergeCell ref="H22:H23"/>
    <mergeCell ref="I22:I23"/>
    <mergeCell ref="J22:J23"/>
    <mergeCell ref="K22:K23"/>
    <mergeCell ref="F21:G21"/>
    <mergeCell ref="L13:L14"/>
    <mergeCell ref="M13:M14"/>
    <mergeCell ref="N13:N14"/>
    <mergeCell ref="O13:O14"/>
    <mergeCell ref="F16:G16"/>
    <mergeCell ref="F17:G17"/>
    <mergeCell ref="F18:G18"/>
    <mergeCell ref="F19:G19"/>
    <mergeCell ref="F20:G20"/>
    <mergeCell ref="P13:P14"/>
    <mergeCell ref="F15:G15"/>
    <mergeCell ref="A13:E14"/>
    <mergeCell ref="F13:G14"/>
    <mergeCell ref="H13:H14"/>
    <mergeCell ref="I13:I14"/>
    <mergeCell ref="J13:J14"/>
    <mergeCell ref="K13:K14"/>
    <mergeCell ref="A1:P1"/>
    <mergeCell ref="A3:P3"/>
    <mergeCell ref="C5:N5"/>
    <mergeCell ref="C10:M10"/>
    <mergeCell ref="A12:G12"/>
    <mergeCell ref="H12:P12"/>
  </mergeCells>
  <printOptions horizontalCentered="1" verticalCentered="1"/>
  <pageMargins left="0.25" right="0.25" top="0.25" bottom="0.25" header="0.3" footer="0.3"/>
  <pageSetup scale="6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548C-9E70-40E8-A649-D45945B96067}">
  <sheetPr>
    <pageSetUpPr fitToPage="1"/>
  </sheetPr>
  <dimension ref="A1:Q35"/>
  <sheetViews>
    <sheetView tabSelected="1" zoomScaleNormal="100" workbookViewId="0">
      <selection activeCell="Q8" sqref="Q8"/>
    </sheetView>
  </sheetViews>
  <sheetFormatPr defaultRowHeight="15" x14ac:dyDescent="0.25"/>
  <cols>
    <col min="1" max="1" width="5.7109375" style="1" customWidth="1"/>
    <col min="2" max="2" width="17.7109375" style="1" customWidth="1"/>
    <col min="3" max="3" width="5.7109375" style="1" customWidth="1"/>
    <col min="4" max="4" width="17.7109375" style="1" customWidth="1"/>
    <col min="5" max="5" width="5.7109375" style="1" customWidth="1"/>
    <col min="6" max="6" width="17.7109375" style="2" customWidth="1"/>
    <col min="7" max="7" width="5.7109375" style="1" customWidth="1"/>
    <col min="8" max="8" width="17.7109375" style="2" customWidth="1"/>
    <col min="9" max="9" width="5.7109375" style="2" customWidth="1"/>
    <col min="10" max="10" width="17.7109375" style="2" customWidth="1"/>
    <col min="11" max="11" width="5.7109375" style="2" customWidth="1"/>
    <col min="12" max="12" width="17.7109375" style="2" customWidth="1"/>
    <col min="13" max="13" width="5.7109375" style="2" customWidth="1"/>
    <col min="14" max="14" width="17.7109375" style="2" customWidth="1"/>
    <col min="15" max="15" width="5.7109375" style="2" customWidth="1"/>
    <col min="16" max="16" width="17.7109375" style="2" customWidth="1"/>
    <col min="17" max="18" width="9.85546875" style="1" bestFit="1" customWidth="1"/>
    <col min="19" max="16384" width="9.140625" style="1"/>
  </cols>
  <sheetData>
    <row r="1" spans="1:16" s="7" customFormat="1" ht="45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20.2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s="8" customFormat="1" ht="30" x14ac:dyDescent="0.25">
      <c r="A3" s="87" t="s">
        <v>48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ht="27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3" customFormat="1" ht="24" customHeight="1" thickBot="1" x14ac:dyDescent="0.3">
      <c r="C5" s="88" t="s">
        <v>10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90"/>
    </row>
    <row r="6" spans="1:16" ht="24" customHeight="1" x14ac:dyDescent="0.25">
      <c r="C6" s="30" t="s">
        <v>2</v>
      </c>
      <c r="D6" s="31"/>
      <c r="E6" s="31"/>
      <c r="F6" s="31"/>
      <c r="G6" s="31"/>
      <c r="H6" s="25">
        <v>15</v>
      </c>
      <c r="I6" s="30" t="s">
        <v>7</v>
      </c>
      <c r="J6" s="31"/>
      <c r="K6" s="31"/>
      <c r="L6" s="31"/>
      <c r="M6" s="31"/>
      <c r="N6" s="25">
        <v>4.5</v>
      </c>
      <c r="O6" s="1"/>
      <c r="P6" s="1"/>
    </row>
    <row r="7" spans="1:16" ht="24" customHeight="1" x14ac:dyDescent="0.25">
      <c r="C7" s="32" t="s">
        <v>3</v>
      </c>
      <c r="D7" s="33"/>
      <c r="E7" s="33"/>
      <c r="F7" s="33"/>
      <c r="G7" s="33"/>
      <c r="H7" s="26">
        <v>2</v>
      </c>
      <c r="I7" s="32" t="s">
        <v>47</v>
      </c>
      <c r="J7" s="33"/>
      <c r="K7" s="33"/>
      <c r="L7" s="33"/>
      <c r="M7" s="33"/>
      <c r="N7" s="26">
        <v>10</v>
      </c>
      <c r="O7" s="1"/>
      <c r="P7" s="1"/>
    </row>
    <row r="8" spans="1:16" ht="24" customHeight="1" x14ac:dyDescent="0.25">
      <c r="C8" s="32" t="s">
        <v>4</v>
      </c>
      <c r="D8" s="33"/>
      <c r="E8" s="33"/>
      <c r="F8" s="33"/>
      <c r="G8" s="33"/>
      <c r="H8" s="26">
        <v>15</v>
      </c>
      <c r="I8" s="34"/>
      <c r="J8" s="35"/>
      <c r="K8" s="35"/>
      <c r="L8" s="35"/>
      <c r="M8" s="35"/>
      <c r="N8" s="28"/>
      <c r="O8" s="1"/>
      <c r="P8" s="1"/>
    </row>
    <row r="9" spans="1:16" ht="24" customHeight="1" x14ac:dyDescent="0.25">
      <c r="C9" s="34" t="s">
        <v>6</v>
      </c>
      <c r="D9" s="35"/>
      <c r="E9" s="35"/>
      <c r="F9" s="35"/>
      <c r="G9" s="35"/>
      <c r="H9" s="28">
        <v>25</v>
      </c>
      <c r="I9" s="34"/>
      <c r="J9" s="35"/>
      <c r="K9" s="35"/>
      <c r="L9" s="35"/>
      <c r="M9" s="35"/>
      <c r="N9" s="28"/>
      <c r="O9" s="1"/>
      <c r="P9" s="1"/>
    </row>
    <row r="10" spans="1:16" ht="24" customHeight="1" thickBot="1" x14ac:dyDescent="0.3">
      <c r="C10" s="36" t="s">
        <v>5</v>
      </c>
      <c r="D10" s="37"/>
      <c r="E10" s="37"/>
      <c r="F10" s="37"/>
      <c r="G10" s="37"/>
      <c r="H10" s="27">
        <v>234</v>
      </c>
      <c r="I10" s="34"/>
      <c r="J10" s="35"/>
      <c r="K10" s="35"/>
      <c r="L10" s="35"/>
      <c r="M10" s="35"/>
      <c r="N10" s="28"/>
      <c r="O10" s="1"/>
      <c r="P10" s="1"/>
    </row>
    <row r="11" spans="1:16" s="3" customFormat="1" ht="27" customHeight="1" thickBot="1" x14ac:dyDescent="0.3">
      <c r="C11" s="91" t="s">
        <v>9</v>
      </c>
      <c r="D11" s="92"/>
      <c r="E11" s="92"/>
      <c r="F11" s="92"/>
      <c r="G11" s="92"/>
      <c r="H11" s="92"/>
      <c r="I11" s="92"/>
      <c r="J11" s="92"/>
      <c r="K11" s="92"/>
      <c r="L11" s="92"/>
      <c r="M11" s="93"/>
      <c r="N11" s="29">
        <f>H6+H7+H8+H9+H10+N6+N7+N8+N9+N10</f>
        <v>305.5</v>
      </c>
      <c r="O11" s="4"/>
      <c r="P11" s="5"/>
    </row>
    <row r="12" spans="1:16" s="3" customFormat="1" ht="27" customHeight="1" thickBot="1" x14ac:dyDescent="0.3">
      <c r="F12" s="4"/>
      <c r="H12" s="4"/>
      <c r="I12" s="4"/>
      <c r="J12" s="4"/>
      <c r="K12" s="4"/>
      <c r="L12" s="4"/>
      <c r="M12" s="4"/>
      <c r="N12" s="4"/>
      <c r="O12" s="4"/>
      <c r="P12" s="5"/>
    </row>
    <row r="13" spans="1:16" ht="24" customHeight="1" thickBot="1" x14ac:dyDescent="0.3">
      <c r="A13" s="94" t="s">
        <v>38</v>
      </c>
      <c r="B13" s="95"/>
      <c r="C13" s="95"/>
      <c r="D13" s="95"/>
      <c r="E13" s="95"/>
      <c r="F13" s="95"/>
      <c r="G13" s="96"/>
      <c r="H13" s="97" t="s">
        <v>33</v>
      </c>
      <c r="I13" s="98"/>
      <c r="J13" s="98"/>
      <c r="K13" s="98"/>
      <c r="L13" s="98"/>
      <c r="M13" s="98"/>
      <c r="N13" s="98"/>
      <c r="O13" s="98"/>
      <c r="P13" s="99"/>
    </row>
    <row r="14" spans="1:16" s="3" customFormat="1" ht="24" customHeight="1" x14ac:dyDescent="0.25">
      <c r="A14" s="85" t="s">
        <v>34</v>
      </c>
      <c r="B14" s="71"/>
      <c r="C14" s="71"/>
      <c r="D14" s="71"/>
      <c r="E14" s="72"/>
      <c r="F14" s="76" t="s">
        <v>11</v>
      </c>
      <c r="G14" s="77"/>
      <c r="H14" s="67" t="s">
        <v>37</v>
      </c>
      <c r="I14" s="65" t="s">
        <v>31</v>
      </c>
      <c r="J14" s="67" t="s">
        <v>30</v>
      </c>
      <c r="K14" s="65" t="s">
        <v>36</v>
      </c>
      <c r="L14" s="63" t="s">
        <v>29</v>
      </c>
      <c r="M14" s="65" t="s">
        <v>36</v>
      </c>
      <c r="N14" s="63" t="s">
        <v>28</v>
      </c>
      <c r="O14" s="65" t="s">
        <v>32</v>
      </c>
      <c r="P14" s="67" t="s">
        <v>12</v>
      </c>
    </row>
    <row r="15" spans="1:16" s="3" customFormat="1" ht="24" customHeight="1" thickBot="1" x14ac:dyDescent="0.3">
      <c r="A15" s="73"/>
      <c r="B15" s="74"/>
      <c r="C15" s="74"/>
      <c r="D15" s="74"/>
      <c r="E15" s="75"/>
      <c r="F15" s="78"/>
      <c r="G15" s="79"/>
      <c r="H15" s="80"/>
      <c r="I15" s="66"/>
      <c r="J15" s="64"/>
      <c r="K15" s="66"/>
      <c r="L15" s="64"/>
      <c r="M15" s="66"/>
      <c r="N15" s="64"/>
      <c r="O15" s="66"/>
      <c r="P15" s="64"/>
    </row>
    <row r="16" spans="1:16" ht="24" customHeight="1" x14ac:dyDescent="0.25">
      <c r="A16" s="9" t="s">
        <v>35</v>
      </c>
      <c r="B16" s="10"/>
      <c r="C16" s="11"/>
      <c r="D16" s="11"/>
      <c r="E16" s="12"/>
      <c r="F16" s="83">
        <v>31.39</v>
      </c>
      <c r="G16" s="84"/>
      <c r="H16" s="38">
        <f t="shared" ref="H16:H22" si="0">$N$11</f>
        <v>305.5</v>
      </c>
      <c r="I16" s="39" t="s">
        <v>31</v>
      </c>
      <c r="J16" s="38">
        <f>$F$21</f>
        <v>62.78</v>
      </c>
      <c r="K16" s="39" t="s">
        <v>36</v>
      </c>
      <c r="L16" s="40">
        <v>0.5</v>
      </c>
      <c r="M16" s="39" t="s">
        <v>36</v>
      </c>
      <c r="N16" s="41">
        <v>9</v>
      </c>
      <c r="O16" s="39" t="s">
        <v>32</v>
      </c>
      <c r="P16" s="25" t="s">
        <v>40</v>
      </c>
    </row>
    <row r="17" spans="1:17" ht="24" customHeight="1" x14ac:dyDescent="0.25">
      <c r="A17" s="13" t="s">
        <v>13</v>
      </c>
      <c r="B17" s="13"/>
      <c r="C17" s="14"/>
      <c r="D17" s="14"/>
      <c r="E17" s="15"/>
      <c r="F17" s="81">
        <v>34.53</v>
      </c>
      <c r="G17" s="82"/>
      <c r="H17" s="42">
        <f t="shared" si="0"/>
        <v>305.5</v>
      </c>
      <c r="I17" s="43" t="s">
        <v>31</v>
      </c>
      <c r="J17" s="42">
        <f t="shared" ref="J17:J22" si="1">$F$21</f>
        <v>62.78</v>
      </c>
      <c r="K17" s="43" t="s">
        <v>36</v>
      </c>
      <c r="L17" s="44">
        <v>0.55000000000000004</v>
      </c>
      <c r="M17" s="43" t="s">
        <v>36</v>
      </c>
      <c r="N17" s="45">
        <v>9</v>
      </c>
      <c r="O17" s="43" t="s">
        <v>32</v>
      </c>
      <c r="P17" s="26">
        <f>$N$11+(($F$21*0.55)*9)</f>
        <v>616.26099999999997</v>
      </c>
      <c r="Q17" s="6"/>
    </row>
    <row r="18" spans="1:17" ht="24" customHeight="1" x14ac:dyDescent="0.25">
      <c r="A18" s="13" t="s">
        <v>14</v>
      </c>
      <c r="B18" s="13"/>
      <c r="C18" s="14"/>
      <c r="D18" s="14"/>
      <c r="E18" s="15"/>
      <c r="F18" s="81">
        <v>40.81</v>
      </c>
      <c r="G18" s="82"/>
      <c r="H18" s="42">
        <f t="shared" si="0"/>
        <v>305.5</v>
      </c>
      <c r="I18" s="43" t="s">
        <v>31</v>
      </c>
      <c r="J18" s="42">
        <f t="shared" si="1"/>
        <v>62.78</v>
      </c>
      <c r="K18" s="43" t="s">
        <v>36</v>
      </c>
      <c r="L18" s="44">
        <v>0.65</v>
      </c>
      <c r="M18" s="43" t="s">
        <v>36</v>
      </c>
      <c r="N18" s="45">
        <v>9</v>
      </c>
      <c r="O18" s="43" t="s">
        <v>32</v>
      </c>
      <c r="P18" s="26">
        <f>$N$11+(($F$21*0.65)*9)</f>
        <v>672.76300000000003</v>
      </c>
      <c r="Q18" s="6"/>
    </row>
    <row r="19" spans="1:17" ht="24" customHeight="1" x14ac:dyDescent="0.25">
      <c r="A19" s="13" t="s">
        <v>15</v>
      </c>
      <c r="B19" s="13"/>
      <c r="C19" s="14"/>
      <c r="D19" s="14"/>
      <c r="E19" s="15"/>
      <c r="F19" s="81">
        <v>43.95</v>
      </c>
      <c r="G19" s="82"/>
      <c r="H19" s="42">
        <f t="shared" si="0"/>
        <v>305.5</v>
      </c>
      <c r="I19" s="43" t="s">
        <v>31</v>
      </c>
      <c r="J19" s="42">
        <f t="shared" si="1"/>
        <v>62.78</v>
      </c>
      <c r="K19" s="43" t="s">
        <v>36</v>
      </c>
      <c r="L19" s="44">
        <v>0.7</v>
      </c>
      <c r="M19" s="43" t="s">
        <v>36</v>
      </c>
      <c r="N19" s="45">
        <v>9</v>
      </c>
      <c r="O19" s="43" t="s">
        <v>32</v>
      </c>
      <c r="P19" s="26">
        <f>$N$11+(($F$21*0.7)*9)</f>
        <v>701.01400000000001</v>
      </c>
      <c r="Q19" s="6"/>
    </row>
    <row r="20" spans="1:17" ht="24" customHeight="1" x14ac:dyDescent="0.25">
      <c r="A20" s="13" t="s">
        <v>16</v>
      </c>
      <c r="B20" s="13"/>
      <c r="C20" s="14"/>
      <c r="D20" s="24"/>
      <c r="E20" s="15"/>
      <c r="F20" s="81">
        <v>50.22</v>
      </c>
      <c r="G20" s="82"/>
      <c r="H20" s="42">
        <f t="shared" si="0"/>
        <v>305.5</v>
      </c>
      <c r="I20" s="43" t="s">
        <v>31</v>
      </c>
      <c r="J20" s="42">
        <f t="shared" si="1"/>
        <v>62.78</v>
      </c>
      <c r="K20" s="43" t="s">
        <v>36</v>
      </c>
      <c r="L20" s="44">
        <v>0.8</v>
      </c>
      <c r="M20" s="43" t="s">
        <v>36</v>
      </c>
      <c r="N20" s="45">
        <v>9</v>
      </c>
      <c r="O20" s="43" t="s">
        <v>32</v>
      </c>
      <c r="P20" s="26">
        <f>$N$11+(($F$21*0.8)*9)</f>
        <v>757.51600000000008</v>
      </c>
      <c r="Q20" s="6"/>
    </row>
    <row r="21" spans="1:17" ht="24" customHeight="1" x14ac:dyDescent="0.25">
      <c r="A21" s="13" t="s">
        <v>17</v>
      </c>
      <c r="B21" s="13"/>
      <c r="C21" s="14"/>
      <c r="D21" s="14"/>
      <c r="E21" s="15"/>
      <c r="F21" s="81">
        <v>62.78</v>
      </c>
      <c r="G21" s="82"/>
      <c r="H21" s="42">
        <f t="shared" si="0"/>
        <v>305.5</v>
      </c>
      <c r="I21" s="43" t="s">
        <v>31</v>
      </c>
      <c r="J21" s="42">
        <f t="shared" si="1"/>
        <v>62.78</v>
      </c>
      <c r="K21" s="43" t="s">
        <v>36</v>
      </c>
      <c r="L21" s="44">
        <v>1</v>
      </c>
      <c r="M21" s="43" t="s">
        <v>36</v>
      </c>
      <c r="N21" s="45">
        <v>9</v>
      </c>
      <c r="O21" s="43" t="s">
        <v>32</v>
      </c>
      <c r="P21" s="26">
        <f>$N$11+(($F$21*1)*9)</f>
        <v>870.52</v>
      </c>
      <c r="Q21" s="6"/>
    </row>
    <row r="22" spans="1:17" ht="24" customHeight="1" thickBot="1" x14ac:dyDescent="0.3">
      <c r="A22" s="16" t="s">
        <v>18</v>
      </c>
      <c r="B22" s="16"/>
      <c r="C22" s="17"/>
      <c r="D22" s="17"/>
      <c r="E22" s="18"/>
      <c r="F22" s="59">
        <v>70.63</v>
      </c>
      <c r="G22" s="60"/>
      <c r="H22" s="46">
        <f t="shared" si="0"/>
        <v>305.5</v>
      </c>
      <c r="I22" s="47" t="s">
        <v>31</v>
      </c>
      <c r="J22" s="46">
        <f t="shared" si="1"/>
        <v>62.78</v>
      </c>
      <c r="K22" s="47" t="s">
        <v>36</v>
      </c>
      <c r="L22" s="48">
        <v>1.125</v>
      </c>
      <c r="M22" s="47" t="s">
        <v>36</v>
      </c>
      <c r="N22" s="49">
        <v>9</v>
      </c>
      <c r="O22" s="47" t="s">
        <v>32</v>
      </c>
      <c r="P22" s="28">
        <f>$N$11+(($F$21*1.125)*9)</f>
        <v>941.14750000000004</v>
      </c>
      <c r="Q22" s="6"/>
    </row>
    <row r="23" spans="1:17" s="3" customFormat="1" ht="24" customHeight="1" x14ac:dyDescent="0.25">
      <c r="A23" s="70" t="s">
        <v>39</v>
      </c>
      <c r="B23" s="71"/>
      <c r="C23" s="71"/>
      <c r="D23" s="71"/>
      <c r="E23" s="72"/>
      <c r="F23" s="76" t="s">
        <v>11</v>
      </c>
      <c r="G23" s="77"/>
      <c r="H23" s="67" t="s">
        <v>37</v>
      </c>
      <c r="I23" s="65" t="s">
        <v>31</v>
      </c>
      <c r="J23" s="67" t="s">
        <v>30</v>
      </c>
      <c r="K23" s="65" t="s">
        <v>36</v>
      </c>
      <c r="L23" s="63" t="s">
        <v>29</v>
      </c>
      <c r="M23" s="65" t="s">
        <v>36</v>
      </c>
      <c r="N23" s="63" t="s">
        <v>28</v>
      </c>
      <c r="O23" s="65" t="s">
        <v>32</v>
      </c>
      <c r="P23" s="67" t="s">
        <v>12</v>
      </c>
    </row>
    <row r="24" spans="1:17" s="3" customFormat="1" ht="24" customHeight="1" thickBot="1" x14ac:dyDescent="0.3">
      <c r="A24" s="73"/>
      <c r="B24" s="74"/>
      <c r="C24" s="74"/>
      <c r="D24" s="74"/>
      <c r="E24" s="75"/>
      <c r="F24" s="78"/>
      <c r="G24" s="79"/>
      <c r="H24" s="80"/>
      <c r="I24" s="66"/>
      <c r="J24" s="64"/>
      <c r="K24" s="66"/>
      <c r="L24" s="64"/>
      <c r="M24" s="66"/>
      <c r="N24" s="64"/>
      <c r="O24" s="66"/>
      <c r="P24" s="64"/>
    </row>
    <row r="25" spans="1:17" ht="24" customHeight="1" x14ac:dyDescent="0.25">
      <c r="A25" s="10" t="s">
        <v>19</v>
      </c>
      <c r="B25" s="11"/>
      <c r="C25" s="11"/>
      <c r="D25" s="11"/>
      <c r="E25" s="12"/>
      <c r="F25" s="68">
        <f>$F$21*1.03</f>
        <v>64.663399999999996</v>
      </c>
      <c r="G25" s="69"/>
      <c r="H25" s="38">
        <f t="shared" ref="H25:H35" si="2">$N$11</f>
        <v>305.5</v>
      </c>
      <c r="I25" s="39" t="s">
        <v>31</v>
      </c>
      <c r="J25" s="38">
        <f>$F$21</f>
        <v>62.78</v>
      </c>
      <c r="K25" s="39" t="s">
        <v>36</v>
      </c>
      <c r="L25" s="40">
        <v>1.03</v>
      </c>
      <c r="M25" s="39" t="s">
        <v>36</v>
      </c>
      <c r="N25" s="41">
        <v>9</v>
      </c>
      <c r="O25" s="39" t="s">
        <v>32</v>
      </c>
      <c r="P25" s="25">
        <f>$N$11+(($F$21*1.03)*9)</f>
        <v>887.47059999999999</v>
      </c>
      <c r="Q25" s="6"/>
    </row>
    <row r="26" spans="1:17" ht="24" customHeight="1" x14ac:dyDescent="0.25">
      <c r="A26" s="13" t="s">
        <v>41</v>
      </c>
      <c r="B26" s="14"/>
      <c r="C26" s="14"/>
      <c r="D26" s="14"/>
      <c r="E26" s="15"/>
      <c r="F26" s="59">
        <f>$F$21*1.04</f>
        <v>65.291200000000003</v>
      </c>
      <c r="G26" s="60"/>
      <c r="H26" s="42">
        <f t="shared" si="2"/>
        <v>305.5</v>
      </c>
      <c r="I26" s="43" t="s">
        <v>31</v>
      </c>
      <c r="J26" s="42">
        <f t="shared" ref="J26:J35" si="3">$F$21</f>
        <v>62.78</v>
      </c>
      <c r="K26" s="43" t="s">
        <v>36</v>
      </c>
      <c r="L26" s="44">
        <v>1.04</v>
      </c>
      <c r="M26" s="43" t="s">
        <v>36</v>
      </c>
      <c r="N26" s="45">
        <v>9</v>
      </c>
      <c r="O26" s="43" t="s">
        <v>32</v>
      </c>
      <c r="P26" s="26">
        <f>$N$11+(($F$21*1.04)*9)</f>
        <v>893.12080000000003</v>
      </c>
      <c r="Q26" s="6"/>
    </row>
    <row r="27" spans="1:17" ht="24" customHeight="1" x14ac:dyDescent="0.25">
      <c r="A27" s="13" t="s">
        <v>20</v>
      </c>
      <c r="B27" s="14"/>
      <c r="C27" s="14"/>
      <c r="D27" s="14"/>
      <c r="E27" s="15"/>
      <c r="F27" s="59">
        <f>$F$21*1.06</f>
        <v>66.546800000000005</v>
      </c>
      <c r="G27" s="60"/>
      <c r="H27" s="42">
        <f t="shared" si="2"/>
        <v>305.5</v>
      </c>
      <c r="I27" s="43" t="s">
        <v>31</v>
      </c>
      <c r="J27" s="42">
        <f t="shared" si="3"/>
        <v>62.78</v>
      </c>
      <c r="K27" s="43" t="s">
        <v>36</v>
      </c>
      <c r="L27" s="44">
        <v>1.06</v>
      </c>
      <c r="M27" s="43" t="s">
        <v>36</v>
      </c>
      <c r="N27" s="45">
        <v>9</v>
      </c>
      <c r="O27" s="43" t="s">
        <v>32</v>
      </c>
      <c r="P27" s="26">
        <f>$N$11+(($F$21*1.06)*9)</f>
        <v>904.4212</v>
      </c>
      <c r="Q27" s="6"/>
    </row>
    <row r="28" spans="1:17" ht="24" customHeight="1" x14ac:dyDescent="0.25">
      <c r="A28" s="13" t="s">
        <v>42</v>
      </c>
      <c r="B28" s="14"/>
      <c r="C28" s="14"/>
      <c r="D28" s="14"/>
      <c r="E28" s="15"/>
      <c r="F28" s="59">
        <f>$F$21*1.08</f>
        <v>67.802400000000006</v>
      </c>
      <c r="G28" s="60"/>
      <c r="H28" s="42">
        <f t="shared" si="2"/>
        <v>305.5</v>
      </c>
      <c r="I28" s="43" t="s">
        <v>31</v>
      </c>
      <c r="J28" s="42">
        <f t="shared" si="3"/>
        <v>62.78</v>
      </c>
      <c r="K28" s="43" t="s">
        <v>36</v>
      </c>
      <c r="L28" s="44">
        <v>1.08</v>
      </c>
      <c r="M28" s="43" t="s">
        <v>36</v>
      </c>
      <c r="N28" s="45">
        <v>9</v>
      </c>
      <c r="O28" s="43" t="s">
        <v>32</v>
      </c>
      <c r="P28" s="26">
        <f>$N$11+(($F$21*1.08)*9)</f>
        <v>915.72160000000008</v>
      </c>
      <c r="Q28" s="6"/>
    </row>
    <row r="29" spans="1:17" ht="24" customHeight="1" x14ac:dyDescent="0.25">
      <c r="A29" s="13" t="s">
        <v>43</v>
      </c>
      <c r="B29" s="14"/>
      <c r="C29" s="14"/>
      <c r="D29" s="14"/>
      <c r="E29" s="15"/>
      <c r="F29" s="59">
        <f>$F$21*1.09</f>
        <v>68.430199999999999</v>
      </c>
      <c r="G29" s="60"/>
      <c r="H29" s="42">
        <f t="shared" si="2"/>
        <v>305.5</v>
      </c>
      <c r="I29" s="43" t="s">
        <v>31</v>
      </c>
      <c r="J29" s="42">
        <f t="shared" si="3"/>
        <v>62.78</v>
      </c>
      <c r="K29" s="43" t="s">
        <v>36</v>
      </c>
      <c r="L29" s="44">
        <v>1.0900000000000001</v>
      </c>
      <c r="M29" s="43" t="s">
        <v>36</v>
      </c>
      <c r="N29" s="45">
        <v>9</v>
      </c>
      <c r="O29" s="43" t="s">
        <v>32</v>
      </c>
      <c r="P29" s="26">
        <f>$N$11+(($F$21*1.09)*9)</f>
        <v>921.37180000000001</v>
      </c>
      <c r="Q29" s="6"/>
    </row>
    <row r="30" spans="1:17" ht="24" customHeight="1" x14ac:dyDescent="0.25">
      <c r="A30" s="13" t="s">
        <v>21</v>
      </c>
      <c r="B30" s="14"/>
      <c r="C30" s="14"/>
      <c r="D30" s="14"/>
      <c r="E30" s="15"/>
      <c r="F30" s="59">
        <f>$F$21*1.1</f>
        <v>69.058000000000007</v>
      </c>
      <c r="G30" s="60"/>
      <c r="H30" s="42">
        <f t="shared" si="2"/>
        <v>305.5</v>
      </c>
      <c r="I30" s="43" t="s">
        <v>31</v>
      </c>
      <c r="J30" s="42">
        <f t="shared" si="3"/>
        <v>62.78</v>
      </c>
      <c r="K30" s="43" t="s">
        <v>36</v>
      </c>
      <c r="L30" s="44">
        <v>1.1000000000000001</v>
      </c>
      <c r="M30" s="43" t="s">
        <v>36</v>
      </c>
      <c r="N30" s="45">
        <v>9</v>
      </c>
      <c r="O30" s="43" t="s">
        <v>32</v>
      </c>
      <c r="P30" s="26">
        <f>$N$11+(($F$21*1.1)*9)</f>
        <v>927.02200000000005</v>
      </c>
      <c r="Q30" s="6"/>
    </row>
    <row r="31" spans="1:17" ht="24" customHeight="1" x14ac:dyDescent="0.25">
      <c r="A31" s="13" t="s">
        <v>22</v>
      </c>
      <c r="B31" s="14"/>
      <c r="C31" s="14"/>
      <c r="D31" s="14"/>
      <c r="E31" s="15"/>
      <c r="F31" s="59">
        <f>$F$21*1.175</f>
        <v>73.766500000000008</v>
      </c>
      <c r="G31" s="60"/>
      <c r="H31" s="42">
        <f t="shared" si="2"/>
        <v>305.5</v>
      </c>
      <c r="I31" s="43" t="s">
        <v>31</v>
      </c>
      <c r="J31" s="42">
        <f t="shared" si="3"/>
        <v>62.78</v>
      </c>
      <c r="K31" s="43" t="s">
        <v>36</v>
      </c>
      <c r="L31" s="44">
        <v>1.175</v>
      </c>
      <c r="M31" s="43" t="s">
        <v>36</v>
      </c>
      <c r="N31" s="45">
        <v>9</v>
      </c>
      <c r="O31" s="43" t="s">
        <v>32</v>
      </c>
      <c r="P31" s="26">
        <f>$N$11+(($F$21*1.175)*9)</f>
        <v>969.39850000000001</v>
      </c>
      <c r="Q31" s="6"/>
    </row>
    <row r="32" spans="1:17" ht="24" customHeight="1" x14ac:dyDescent="0.25">
      <c r="A32" s="13" t="s">
        <v>23</v>
      </c>
      <c r="B32" s="14"/>
      <c r="C32" s="14"/>
      <c r="D32" s="14"/>
      <c r="E32" s="15"/>
      <c r="F32" s="59">
        <f>$F$21*1.2</f>
        <v>75.335999999999999</v>
      </c>
      <c r="G32" s="60"/>
      <c r="H32" s="42">
        <f t="shared" si="2"/>
        <v>305.5</v>
      </c>
      <c r="I32" s="43" t="s">
        <v>31</v>
      </c>
      <c r="J32" s="42">
        <f t="shared" si="3"/>
        <v>62.78</v>
      </c>
      <c r="K32" s="43" t="s">
        <v>36</v>
      </c>
      <c r="L32" s="44">
        <v>1.2</v>
      </c>
      <c r="M32" s="43" t="s">
        <v>36</v>
      </c>
      <c r="N32" s="45">
        <v>9</v>
      </c>
      <c r="O32" s="43" t="s">
        <v>32</v>
      </c>
      <c r="P32" s="26">
        <f>$N$11+(($F$21*1.2)*9)</f>
        <v>983.524</v>
      </c>
      <c r="Q32" s="6"/>
    </row>
    <row r="33" spans="1:17" ht="24" customHeight="1" x14ac:dyDescent="0.25">
      <c r="A33" s="13" t="s">
        <v>24</v>
      </c>
      <c r="B33" s="14"/>
      <c r="C33" s="14"/>
      <c r="D33" s="14"/>
      <c r="E33" s="15"/>
      <c r="F33" s="59">
        <f>$F$21*1.225</f>
        <v>76.905500000000004</v>
      </c>
      <c r="G33" s="60"/>
      <c r="H33" s="42">
        <f t="shared" si="2"/>
        <v>305.5</v>
      </c>
      <c r="I33" s="43" t="s">
        <v>31</v>
      </c>
      <c r="J33" s="42">
        <f t="shared" si="3"/>
        <v>62.78</v>
      </c>
      <c r="K33" s="43" t="s">
        <v>36</v>
      </c>
      <c r="L33" s="44">
        <v>1.2250000000000001</v>
      </c>
      <c r="M33" s="43" t="s">
        <v>36</v>
      </c>
      <c r="N33" s="45">
        <v>9</v>
      </c>
      <c r="O33" s="43" t="s">
        <v>32</v>
      </c>
      <c r="P33" s="26">
        <f>$N$11+(($F$21*1.225)*9)</f>
        <v>997.64949999999999</v>
      </c>
      <c r="Q33" s="6"/>
    </row>
    <row r="34" spans="1:17" ht="24" customHeight="1" x14ac:dyDescent="0.25">
      <c r="A34" s="13" t="s">
        <v>25</v>
      </c>
      <c r="B34" s="14"/>
      <c r="C34" s="14"/>
      <c r="D34" s="14"/>
      <c r="E34" s="15"/>
      <c r="F34" s="59">
        <f>$F$21*1.25</f>
        <v>78.474999999999994</v>
      </c>
      <c r="G34" s="60"/>
      <c r="H34" s="42">
        <f t="shared" si="2"/>
        <v>305.5</v>
      </c>
      <c r="I34" s="43" t="s">
        <v>31</v>
      </c>
      <c r="J34" s="42">
        <f t="shared" si="3"/>
        <v>62.78</v>
      </c>
      <c r="K34" s="43" t="s">
        <v>36</v>
      </c>
      <c r="L34" s="44">
        <v>1.25</v>
      </c>
      <c r="M34" s="43" t="s">
        <v>36</v>
      </c>
      <c r="N34" s="45">
        <v>9</v>
      </c>
      <c r="O34" s="43" t="s">
        <v>32</v>
      </c>
      <c r="P34" s="26">
        <f>$N$11+(($F$21*1.25)*9)</f>
        <v>1011.775</v>
      </c>
      <c r="Q34" s="6"/>
    </row>
    <row r="35" spans="1:17" ht="24" customHeight="1" thickBot="1" x14ac:dyDescent="0.3">
      <c r="A35" s="21" t="s">
        <v>26</v>
      </c>
      <c r="B35" s="22"/>
      <c r="C35" s="22"/>
      <c r="D35" s="22"/>
      <c r="E35" s="23"/>
      <c r="F35" s="61">
        <f>$F$21*1.34</f>
        <v>84.125200000000007</v>
      </c>
      <c r="G35" s="62"/>
      <c r="H35" s="55">
        <f t="shared" si="2"/>
        <v>305.5</v>
      </c>
      <c r="I35" s="56" t="s">
        <v>31</v>
      </c>
      <c r="J35" s="55">
        <f t="shared" si="3"/>
        <v>62.78</v>
      </c>
      <c r="K35" s="56" t="s">
        <v>36</v>
      </c>
      <c r="L35" s="57">
        <v>1.34</v>
      </c>
      <c r="M35" s="56" t="s">
        <v>36</v>
      </c>
      <c r="N35" s="58">
        <v>9</v>
      </c>
      <c r="O35" s="56" t="s">
        <v>32</v>
      </c>
      <c r="P35" s="27">
        <f>$N$11+(($F$21*1.34)*9)</f>
        <v>1062.6268</v>
      </c>
      <c r="Q35" s="6"/>
    </row>
  </sheetData>
  <mergeCells count="46">
    <mergeCell ref="J14:J15"/>
    <mergeCell ref="K14:K15"/>
    <mergeCell ref="A1:P1"/>
    <mergeCell ref="A3:P3"/>
    <mergeCell ref="C5:N5"/>
    <mergeCell ref="C11:M11"/>
    <mergeCell ref="A13:G13"/>
    <mergeCell ref="H13:P13"/>
    <mergeCell ref="F16:G16"/>
    <mergeCell ref="A14:E15"/>
    <mergeCell ref="F14:G15"/>
    <mergeCell ref="H14:H15"/>
    <mergeCell ref="I14:I15"/>
    <mergeCell ref="L14:L15"/>
    <mergeCell ref="M14:M15"/>
    <mergeCell ref="N14:N15"/>
    <mergeCell ref="O14:O15"/>
    <mergeCell ref="P14:P15"/>
    <mergeCell ref="J23:J24"/>
    <mergeCell ref="K23:K24"/>
    <mergeCell ref="F17:G17"/>
    <mergeCell ref="F18:G18"/>
    <mergeCell ref="F19:G19"/>
    <mergeCell ref="F20:G20"/>
    <mergeCell ref="F21:G21"/>
    <mergeCell ref="F22:G22"/>
    <mergeCell ref="F25:G25"/>
    <mergeCell ref="A23:E24"/>
    <mergeCell ref="F23:G24"/>
    <mergeCell ref="H23:H24"/>
    <mergeCell ref="I23:I24"/>
    <mergeCell ref="L23:L24"/>
    <mergeCell ref="M23:M24"/>
    <mergeCell ref="N23:N24"/>
    <mergeCell ref="O23:O24"/>
    <mergeCell ref="P23:P24"/>
    <mergeCell ref="F32:G32"/>
    <mergeCell ref="F33:G33"/>
    <mergeCell ref="F34:G34"/>
    <mergeCell ref="F35:G35"/>
    <mergeCell ref="F26:G26"/>
    <mergeCell ref="F27:G27"/>
    <mergeCell ref="F28:G28"/>
    <mergeCell ref="F29:G29"/>
    <mergeCell ref="F30:G30"/>
    <mergeCell ref="F31:G31"/>
  </mergeCells>
  <printOptions horizontalCentered="1" verticalCentered="1"/>
  <pageMargins left="0.25" right="0.25" top="0.25" bottom="0.2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25Q2</vt:lpstr>
      <vt:lpstr>25Q4</vt:lpstr>
      <vt:lpstr>26Q1</vt:lpstr>
      <vt:lpstr>'25Q2'!Print_Area</vt:lpstr>
      <vt:lpstr>'25Q4'!Print_Area</vt:lpstr>
      <vt:lpstr>'26Q1'!Print_Area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NEIEP Student</dc:creator>
  <cp:lastModifiedBy>John knapp</cp:lastModifiedBy>
  <cp:lastPrinted>2026-03-03T15:28:58Z</cp:lastPrinted>
  <dcterms:created xsi:type="dcterms:W3CDTF">2025-02-25T15:39:58Z</dcterms:created>
  <dcterms:modified xsi:type="dcterms:W3CDTF">2026-03-03T15:29:07Z</dcterms:modified>
</cp:coreProperties>
</file>